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250" windowHeight="5625" activeTab="1"/>
  </bookViews>
  <sheets>
    <sheet name="Plan1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IRRF" sheetId="12" r:id="rId12"/>
    <sheet name="Conclusão" sheetId="13" r:id="rId13"/>
  </sheets>
  <definedNames>
    <definedName name="_xlnm.Print_Area" localSheetId="1">'01'!$A$1:$F$248</definedName>
    <definedName name="_xlnm.Print_Area" localSheetId="2">'02'!$A$1:$N$192</definedName>
    <definedName name="_xlnm.Print_Area" localSheetId="3">'03'!$A$1:$Q$77</definedName>
    <definedName name="_xlnm.Print_Area" localSheetId="4">'04'!$A$1:$H$30</definedName>
    <definedName name="_xlnm.Print_Area" localSheetId="6">'06'!$A$1:$D$70</definedName>
    <definedName name="_xlnm.Print_Area" localSheetId="7">'07'!$A$1:$H$32</definedName>
    <definedName name="_xlnm.Print_Area" localSheetId="9">'09'!$A$1:$I$48</definedName>
    <definedName name="_xlnm.Print_Area" localSheetId="10">'10'!$A$1:$H$69</definedName>
    <definedName name="_xlnm.Print_Area" localSheetId="11">'IRRF'!$A$1:$C$63</definedName>
    <definedName name="_xlnm.Print_Titles" localSheetId="1">'01'!$1:$20</definedName>
    <definedName name="_xlnm.Print_Titles" localSheetId="2">'02'!$1:$22</definedName>
    <definedName name="_xlnm.Print_Titles" localSheetId="3">'03'!$1:$20</definedName>
    <definedName name="_xlnm.Print_Titles" localSheetId="5">'05'!$1:$22</definedName>
    <definedName name="_xlnm.Print_Titles" localSheetId="7">'07'!$1:$21</definedName>
  </definedNames>
  <calcPr fullCalcOnLoad="1" fullPrecision="0"/>
</workbook>
</file>

<file path=xl/sharedStrings.xml><?xml version="1.0" encoding="utf-8"?>
<sst xmlns="http://schemas.openxmlformats.org/spreadsheetml/2006/main" count="886" uniqueCount="406">
  <si>
    <t>-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</si>
  <si>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</si>
  <si>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</si>
  <si>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</si>
  <si>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</si>
  <si>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</si>
  <si>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</si>
  <si>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</si>
  <si>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</si>
  <si>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Mês/Ano</t>
  </si>
  <si>
    <t>Salário</t>
  </si>
  <si>
    <t>Coeficiente</t>
  </si>
  <si>
    <t>$</t>
  </si>
  <si>
    <t>( 9 )</t>
  </si>
  <si>
    <t>Principal</t>
  </si>
  <si>
    <t>Subtotal</t>
  </si>
  <si>
    <t>Juros</t>
  </si>
  <si>
    <t>Valor</t>
  </si>
  <si>
    <t>Total</t>
  </si>
  <si>
    <t>Apurado</t>
  </si>
  <si>
    <t>Acumulado</t>
  </si>
  <si>
    <t>dos</t>
  </si>
  <si>
    <t>Principal,</t>
  </si>
  <si>
    <t>do Débito</t>
  </si>
  <si>
    <t>Corrigido</t>
  </si>
  <si>
    <t xml:space="preserve">12% A.A. </t>
  </si>
  <si>
    <t>Trabalhista</t>
  </si>
  <si>
    <t xml:space="preserve">art. 39 - Lei </t>
  </si>
  <si>
    <t xml:space="preserve"> 8.177/91 de</t>
  </si>
  <si>
    <t>CONCLUSÃO</t>
  </si>
  <si>
    <t>VALORES</t>
  </si>
  <si>
    <t>APURADOS</t>
  </si>
  <si>
    <t>Reclamante</t>
  </si>
  <si>
    <t>Reclamada</t>
  </si>
  <si>
    <t>PODER JUDICIÁRIO FEDERAL - JUSTIÇA DO TRABALHO</t>
  </si>
  <si>
    <t xml:space="preserve">TABELA ÚNICA PARA ATUALIZAÇÃO DE DÉBITOS TRABALHISTAS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</si>
  <si>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</si>
  <si>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</si>
  <si>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</si>
  <si>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</si>
  <si>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</si>
  <si>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</si>
  <si>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</si>
  <si>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</si>
  <si>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</si>
  <si>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</si>
  <si>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</si>
  <si>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</si>
  <si>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( 10 )</t>
  </si>
  <si>
    <t>( 11 )</t>
  </si>
  <si>
    <t>( 12 )</t>
  </si>
  <si>
    <t>Indenização</t>
  </si>
  <si>
    <t>Juros Simples</t>
  </si>
  <si>
    <t>Mensal</t>
  </si>
  <si>
    <t>atualizado até</t>
  </si>
  <si>
    <t>Horas</t>
  </si>
  <si>
    <t>13º</t>
  </si>
  <si>
    <t>Férias</t>
  </si>
  <si>
    <t>Somatória</t>
  </si>
  <si>
    <t>Valor do</t>
  </si>
  <si>
    <t>+ 1/3</t>
  </si>
  <si>
    <t>de</t>
  </si>
  <si>
    <r>
      <t>Título:</t>
    </r>
    <r>
      <rPr>
        <b/>
        <sz val="8"/>
        <rFont val="Tahoma"/>
        <family val="2"/>
      </rPr>
      <t xml:space="preserve"> LEVANTAMENTO DOS VALORES PARA DESCONTO DO INSS</t>
    </r>
  </si>
  <si>
    <t>Salário de</t>
  </si>
  <si>
    <t>Contribuição</t>
  </si>
  <si>
    <r>
      <t>Título:</t>
    </r>
    <r>
      <rPr>
        <b/>
        <sz val="8"/>
        <rFont val="Tahoma"/>
        <family val="2"/>
      </rPr>
      <t xml:space="preserve"> ENCARGOS PREVIDENCIÁRIOS - INSS DA ÉPOCA NA COMPETÊNCIA DO CRÉDITO</t>
    </r>
  </si>
  <si>
    <t>Faixa de</t>
  </si>
  <si>
    <t>Faixa do</t>
  </si>
  <si>
    <t>Valor dos</t>
  </si>
  <si>
    <t>Remuneração</t>
  </si>
  <si>
    <t>Contribuição base</t>
  </si>
  <si>
    <t>Encargos</t>
  </si>
  <si>
    <t>maior</t>
  </si>
  <si>
    <t>Percebida</t>
  </si>
  <si>
    <t>de Cálculo ou maior</t>
  </si>
  <si>
    <t>Previdenciarios</t>
  </si>
  <si>
    <t>Valor Teto</t>
  </si>
  <si>
    <t>Pelo Autor</t>
  </si>
  <si>
    <t>Valor teto ou salário</t>
  </si>
  <si>
    <t>11% de 08/95</t>
  </si>
  <si>
    <t>Época da</t>
  </si>
  <si>
    <t>(legal)</t>
  </si>
  <si>
    <t>Incidente</t>
  </si>
  <si>
    <t>de contrib. igual ou</t>
  </si>
  <si>
    <t>até atual</t>
  </si>
  <si>
    <t>Ao INSS</t>
  </si>
  <si>
    <t>Menor ao</t>
  </si>
  <si>
    <t>Valor do Teto</t>
  </si>
  <si>
    <r>
      <t>Título:</t>
    </r>
    <r>
      <rPr>
        <b/>
        <sz val="8"/>
        <rFont val="Tahoma"/>
        <family val="2"/>
      </rPr>
      <t xml:space="preserve"> LEVANTAMENTO DOS VALORES INCIDENTES PARA O INSS</t>
    </r>
  </si>
  <si>
    <t>INSS a ser</t>
  </si>
  <si>
    <t>INSS</t>
  </si>
  <si>
    <t>descontado</t>
  </si>
  <si>
    <t>sobre o total</t>
  </si>
  <si>
    <t>Recolhido em</t>
  </si>
  <si>
    <t>Observando-se</t>
  </si>
  <si>
    <t>Holleriths</t>
  </si>
  <si>
    <t>o Teto Máximo</t>
  </si>
  <si>
    <t>para o Recte</t>
  </si>
  <si>
    <t>(C.3 - C.4)</t>
  </si>
  <si>
    <t>(C.5 x C.6)</t>
  </si>
  <si>
    <t>(C.2 x C.6)</t>
  </si>
  <si>
    <t xml:space="preserve">        CONTEÚDO</t>
  </si>
  <si>
    <t>I</t>
  </si>
  <si>
    <t>PRINCIPAL..................................................................................................…...............................................................................</t>
  </si>
  <si>
    <t>II</t>
  </si>
  <si>
    <t>CORREÇÃO MONETÁRIA..............................................................….................................................................................................</t>
  </si>
  <si>
    <t>III</t>
  </si>
  <si>
    <t>JUROS .............................................................................................................................................................................................................</t>
  </si>
  <si>
    <t>IV</t>
  </si>
  <si>
    <t>VALOR APURADO.......................................................................................................................................................................................................................................</t>
  </si>
  <si>
    <t>V</t>
  </si>
  <si>
    <t>VI</t>
  </si>
  <si>
    <t>VII</t>
  </si>
  <si>
    <t>VIII</t>
  </si>
  <si>
    <t>VALOR APURADO............................................................................................................................................................................................................................</t>
  </si>
  <si>
    <t>IX</t>
  </si>
  <si>
    <t>X</t>
  </si>
  <si>
    <t>XI</t>
  </si>
  <si>
    <t>XII</t>
  </si>
  <si>
    <t>VALOR APURADO......................................................................................................................................................................................................................................</t>
  </si>
  <si>
    <t>XIII</t>
  </si>
  <si>
    <t>TOTAL DOS VALORES APURADOS................................................................................................</t>
  </si>
  <si>
    <t>....................................................</t>
  </si>
  <si>
    <t>Terceiros (5,8%)............................................................................................................................................</t>
  </si>
  <si>
    <t xml:space="preserve"> BASE CÁLCULO IMPOSTO DE RENDA </t>
  </si>
  <si>
    <t>INSTRUÇÃO NORMATIVA RFB Nº 1.127 DE 07/12/2011</t>
  </si>
  <si>
    <t>(+) PRINCIPAL E CORREÇÃO MONETÁRIA SEM O CÔMPUTO DOS JUROS........................................................................................................</t>
  </si>
  <si>
    <t>R$</t>
  </si>
  <si>
    <t>(-) AVISO PRÉVIO INDENIZADO E INDENIZAÇÃO...................................................................................................</t>
  </si>
  <si>
    <t>(-) PARTICIPAÇÃO NOS LUCROS.................................................................................</t>
  </si>
  <si>
    <t>(-) DEDUÇÃO DO INSS....................................................................................................................................</t>
  </si>
  <si>
    <t>(-) FGTS.....................................................................................................................................................</t>
  </si>
  <si>
    <t>(=) SALÁRIO BASE PARA O IRRF.......................................................................................................................</t>
  </si>
  <si>
    <t>QUANTIDADE DE MESES ..................................................................</t>
  </si>
  <si>
    <t>BASE DE CÁLCULO (MÉDIA DO PERÍODO) ..............................................</t>
  </si>
  <si>
    <t>(%) ALÍQUOTA............................................................................................................................................</t>
  </si>
  <si>
    <t>(=) SUBTOTAL................................................................................................................................................</t>
  </si>
  <si>
    <t>ISENTO</t>
  </si>
  <si>
    <t>(-) PARCELA À DEDUZIR DO IR.......................................................................................................................................................</t>
  </si>
  <si>
    <t>_______________</t>
  </si>
  <si>
    <t>VALOR DO IRRF...............................................................................................................................................</t>
  </si>
  <si>
    <t xml:space="preserve">                        TABELA DO IRF 2014 - VIGÊNCIA A PARTIR DE 01.01.2014</t>
  </si>
  <si>
    <r>
      <t xml:space="preserve">                        Medida Provisória 528/2011 convertida na </t>
    </r>
    <r>
      <rPr>
        <u val="single"/>
        <sz val="8"/>
        <color indexed="12"/>
        <rFont val="Tahoma"/>
        <family val="2"/>
      </rPr>
      <t>Lei 12.469/2011</t>
    </r>
  </si>
  <si>
    <t>Base de Cálculo (R$)</t>
  </si>
  <si>
    <t>Alíquota (%)</t>
  </si>
  <si>
    <t>Parcela a Deduzir do IR (R$)</t>
  </si>
  <si>
    <t>Até 1.787,77</t>
  </si>
  <si>
    <t>De 1.787,78 até 2.679,29</t>
  </si>
  <si>
    <t>De 2.679,30 até 3.572,43</t>
  </si>
  <si>
    <t>De 3.572,44 até 4.463,81</t>
  </si>
  <si>
    <t>Acima de 4.463,81</t>
  </si>
  <si>
    <t>ATÉ 31 DE OUTUBRO DE 2014 - PARA 1º DE NOVEMBRO DE 2014*</t>
  </si>
  <si>
    <r>
      <t xml:space="preserve">*TR prefixada de 1º outubro/2014 a 1º novembro/2014 (Banco Central) = </t>
    </r>
    <r>
      <rPr>
        <b/>
        <sz val="16"/>
        <color indexed="14"/>
        <rFont val="Calibri"/>
        <family val="2"/>
      </rPr>
      <t>0,10380%</t>
    </r>
  </si>
  <si>
    <t>Cálculo</t>
  </si>
  <si>
    <t>Extras</t>
  </si>
  <si>
    <t>do</t>
  </si>
  <si>
    <t>01/11/2014</t>
  </si>
  <si>
    <t>e Juros devidos</t>
  </si>
  <si>
    <t>devidos em</t>
  </si>
  <si>
    <t>( 13 )</t>
  </si>
  <si>
    <t>( 14 )</t>
  </si>
  <si>
    <t>( 15 )</t>
  </si>
  <si>
    <t>(C.8 + C.9)</t>
  </si>
  <si>
    <t>Hora</t>
  </si>
  <si>
    <t>Índice</t>
  </si>
  <si>
    <t>da</t>
  </si>
  <si>
    <t>Categoria</t>
  </si>
  <si>
    <t>Reajuste</t>
  </si>
  <si>
    <t>Base</t>
  </si>
  <si>
    <t>Corr. Monet.</t>
  </si>
  <si>
    <t xml:space="preserve">e Juros </t>
  </si>
  <si>
    <t>FGTS Corrigido</t>
  </si>
  <si>
    <t>dos autos</t>
  </si>
  <si>
    <t>Valor do INSS</t>
  </si>
  <si>
    <r>
      <t>Dedução por Dependente:</t>
    </r>
    <r>
      <rPr>
        <i/>
        <sz val="8"/>
        <rFont val="Tahoma"/>
        <family val="2"/>
      </rPr>
      <t> </t>
    </r>
    <r>
      <rPr>
        <sz val="8"/>
        <rFont val="Tahoma"/>
        <family val="2"/>
      </rPr>
      <t>R$ 179,71 (Cento e Setenta e Nove Reais e Setenta e Um Centavos).</t>
    </r>
  </si>
  <si>
    <t>SAT (3%) sobre o Salário de Contribuição..............................................................................................</t>
  </si>
  <si>
    <t>INSS - Descontado do Reclamante..........................................................................................</t>
  </si>
  <si>
    <t>Encargo da Empresa (20%) sobre o Sal.............................................................................................</t>
  </si>
  <si>
    <t>Total de Encargos a serem pagos pela Empresa.............................................................................................................</t>
  </si>
  <si>
    <t>até</t>
  </si>
  <si>
    <t>Carga</t>
  </si>
  <si>
    <t>(C.2 * C.3)</t>
  </si>
  <si>
    <r>
      <t>Título:</t>
    </r>
    <r>
      <rPr>
        <b/>
        <sz val="8"/>
        <rFont val="Tahoma"/>
        <family val="2"/>
      </rPr>
      <t xml:space="preserve"> EVOLUÇÃO SALARIAL </t>
    </r>
  </si>
  <si>
    <t>Reajustado</t>
  </si>
  <si>
    <t>pelo Período</t>
  </si>
  <si>
    <t>Estabilitário</t>
  </si>
  <si>
    <t>FGTS</t>
  </si>
  <si>
    <t>(C.8 % 8)</t>
  </si>
  <si>
    <t>Devida</t>
  </si>
  <si>
    <t>Anexo 03</t>
  </si>
  <si>
    <t>(C.12%C.13)</t>
  </si>
  <si>
    <t>Mês/</t>
  </si>
  <si>
    <t>Ano</t>
  </si>
  <si>
    <t>Consti-</t>
  </si>
  <si>
    <t>tucional</t>
  </si>
  <si>
    <t>Devido</t>
  </si>
  <si>
    <t>(C.5+C.6+C.7)</t>
  </si>
  <si>
    <t>(C.10xC.11)</t>
  </si>
  <si>
    <t>(C.12+C.14)</t>
  </si>
  <si>
    <t>( 16 )</t>
  </si>
  <si>
    <t>Valores</t>
  </si>
  <si>
    <t>Aviso</t>
  </si>
  <si>
    <t>Porcentagem</t>
  </si>
  <si>
    <t>Valores do</t>
  </si>
  <si>
    <t>Mínimo</t>
  </si>
  <si>
    <t>Apurados</t>
  </si>
  <si>
    <t>Prévio</t>
  </si>
  <si>
    <t>do Adicional de</t>
  </si>
  <si>
    <t>Adicional de</t>
  </si>
  <si>
    <t>e Multa</t>
  </si>
  <si>
    <t>e FGTS</t>
  </si>
  <si>
    <t>Vigente na</t>
  </si>
  <si>
    <t>Insalubridade</t>
  </si>
  <si>
    <t>de 40%</t>
  </si>
  <si>
    <t>com multa</t>
  </si>
  <si>
    <t>Época</t>
  </si>
  <si>
    <t>R.Sentença</t>
  </si>
  <si>
    <t>(C.3+C.4+</t>
  </si>
  <si>
    <t>C.5+C.6)</t>
  </si>
  <si>
    <t>autos</t>
  </si>
  <si>
    <t>(C.13 + C.15)</t>
  </si>
  <si>
    <t>Aviso Prévio</t>
  </si>
  <si>
    <t xml:space="preserve">Férias Ind. </t>
  </si>
  <si>
    <t>Férias Período Aquisitivo</t>
  </si>
  <si>
    <r>
      <t xml:space="preserve">                                      </t>
    </r>
    <r>
      <rPr>
        <b/>
        <u val="single"/>
        <sz val="8"/>
        <rFont val="Tahoma"/>
        <family val="2"/>
      </rPr>
      <t>Período de Gozo</t>
    </r>
  </si>
  <si>
    <t>Acumulado do</t>
  </si>
  <si>
    <r>
      <t>em</t>
    </r>
    <r>
      <rPr>
        <b/>
        <sz val="8"/>
        <rFont val="Tahoma"/>
        <family val="2"/>
      </rPr>
      <t xml:space="preserve"> 01/11/2014</t>
    </r>
  </si>
  <si>
    <t>(C.5 % C.6)</t>
  </si>
  <si>
    <r>
      <t>Admissão:</t>
    </r>
    <r>
      <rPr>
        <b/>
        <sz val="8"/>
        <rFont val="Tahoma"/>
        <family val="2"/>
      </rPr>
      <t xml:space="preserve"> 19/06/1985   </t>
    </r>
    <r>
      <rPr>
        <sz val="8"/>
        <rFont val="Tahoma"/>
        <family val="2"/>
      </rPr>
      <t xml:space="preserve">                Demissão:</t>
    </r>
    <r>
      <rPr>
        <b/>
        <sz val="8"/>
        <rFont val="Tahoma"/>
        <family val="2"/>
      </rPr>
      <t xml:space="preserve"> 13/10/1998</t>
    </r>
    <r>
      <rPr>
        <sz val="8"/>
        <rFont val="Tahoma"/>
        <family val="2"/>
      </rPr>
      <t xml:space="preserve">        </t>
    </r>
  </si>
  <si>
    <r>
      <t>Título:</t>
    </r>
    <r>
      <rPr>
        <b/>
        <sz val="8"/>
        <rFont val="Tahoma"/>
        <family val="2"/>
      </rPr>
      <t xml:space="preserve"> INDENIZAÇÃO PELO PERÍODO DE ESTABILIDADE NO EMPREGO COMPOSTA PELOS SALÁRIOS VENCIDOS E VINCENDOS, 13º SALÁRIOS, FÉRIAS + 1/3 E FGTS </t>
    </r>
  </si>
  <si>
    <t xml:space="preserve">Anexo </t>
  </si>
  <si>
    <t>01</t>
  </si>
  <si>
    <t>De 19/06/1994 à 18/06/1995</t>
  </si>
  <si>
    <t>De 19/06/1995 à 18/06/1996</t>
  </si>
  <si>
    <t>De 19/06/1996 à 18/06/1997</t>
  </si>
  <si>
    <t>De 19/06/1997 à 18/06/1998</t>
  </si>
  <si>
    <t>r.Sentença</t>
  </si>
  <si>
    <t>Pagas</t>
  </si>
  <si>
    <t>( 17 )</t>
  </si>
  <si>
    <t>fls.401 autos</t>
  </si>
  <si>
    <r>
      <t>Título:</t>
    </r>
    <r>
      <rPr>
        <b/>
        <sz val="8"/>
        <rFont val="Tahoma"/>
        <family val="2"/>
      </rPr>
      <t xml:space="preserve"> MULTA NORMATIVA - CLÁUSULA 72 E 97 DA CCT</t>
    </r>
  </si>
  <si>
    <t>Salário Normativo</t>
  </si>
  <si>
    <t>vigente na</t>
  </si>
  <si>
    <t>Época do Evento</t>
  </si>
  <si>
    <t xml:space="preserve">da Categoria </t>
  </si>
  <si>
    <t>Cláusula 97 da CCT - 1% do menor salário normativo da categoria, vigente</t>
  </si>
  <si>
    <t>na época do evento, por infração.</t>
  </si>
  <si>
    <t>Cláusula 97</t>
  </si>
  <si>
    <t>da CCT</t>
  </si>
  <si>
    <t>Multa</t>
  </si>
  <si>
    <t>Normativa</t>
  </si>
  <si>
    <t>(C.2 %1)</t>
  </si>
  <si>
    <t>(C.3 x C.4)</t>
  </si>
  <si>
    <t>(C.5 + C.7)</t>
  </si>
  <si>
    <t>Cláusula 72 da CCT - Garantia de Emprego ao Empregado Acidentado</t>
  </si>
  <si>
    <t>em 13/10/1998</t>
  </si>
  <si>
    <t>salário de</t>
  </si>
  <si>
    <t>8% de 01/95</t>
  </si>
  <si>
    <t>9% até 12/93</t>
  </si>
  <si>
    <t>10% até 12/93</t>
  </si>
  <si>
    <t>até 12/96</t>
  </si>
  <si>
    <t>e 9% de 01/95</t>
  </si>
  <si>
    <t>e de 01/95</t>
  </si>
  <si>
    <t>Competencia</t>
  </si>
  <si>
    <t>até 07/95</t>
  </si>
  <si>
    <t>7,82% de 01/97</t>
  </si>
  <si>
    <t>8,82% aplicável</t>
  </si>
  <si>
    <t>até 12/98</t>
  </si>
  <si>
    <t>A partir de 01/97</t>
  </si>
  <si>
    <t>13.º/97</t>
  </si>
  <si>
    <t xml:space="preserve">          (Período 04/95 à 31/07/95)</t>
  </si>
  <si>
    <t xml:space="preserve">          (Período 08/95 até 31/12/96)</t>
  </si>
  <si>
    <t xml:space="preserve">          (Período 01/97 até 10/98)</t>
  </si>
  <si>
    <t>Horária pela</t>
  </si>
  <si>
    <t xml:space="preserve">Rescisão </t>
  </si>
  <si>
    <t>conforme</t>
  </si>
  <si>
    <t>Afastado</t>
  </si>
  <si>
    <t>Débito Trabalhista</t>
  </si>
  <si>
    <t>e Reflexos</t>
  </si>
  <si>
    <t>Anexo 06</t>
  </si>
  <si>
    <t>Coluna 03</t>
  </si>
  <si>
    <t>em</t>
  </si>
  <si>
    <t>(-) FÉRIAS INDENIZADAS + 1/3.........................................................................................................................................</t>
  </si>
  <si>
    <t>INDENIZAÇÃO PELO PERÍODO ESTABILITÁRIO (Anexo 02)</t>
  </si>
  <si>
    <t>ADICIONAL DE INSALUBRIDADE E REFLEXOS (Anexo 03)</t>
  </si>
  <si>
    <t>(C.13%C.14)</t>
  </si>
  <si>
    <t>(C.11xC.12)</t>
  </si>
  <si>
    <t>(C.09+C.10)</t>
  </si>
  <si>
    <t>(C.9%11,2)</t>
  </si>
  <si>
    <t>(C.7%C.8)</t>
  </si>
  <si>
    <t>MULTA NORMATIVA (Anexo 04)</t>
  </si>
  <si>
    <t>BENEFÍCIOS OBTIDOS PELA CATEGORIA - ABONO PECUNIÁRIO (Anexo 05)</t>
  </si>
  <si>
    <t>XIV</t>
  </si>
  <si>
    <t>XV</t>
  </si>
  <si>
    <t>XVI</t>
  </si>
  <si>
    <t>XVII</t>
  </si>
  <si>
    <t>XVIII  - DESCONTO DO INSS (Parte do Reclamante)...............................................................................................</t>
  </si>
  <si>
    <t>XIX     - DESCONTO DO IRRF (Anexo 11)..............................................................................................</t>
  </si>
  <si>
    <t>XX - TOTAL COM DESCONTOS  - Vigente em</t>
  </si>
  <si>
    <t>XXI      - Demonstrativo dos Encargos a serem pagos para o INSS sobre o Salário de Contribuição</t>
  </si>
  <si>
    <t>Salário de Contribuição (Anexo 10 - col.08)................................................................................................................</t>
  </si>
  <si>
    <t>Prop.</t>
  </si>
  <si>
    <t>e</t>
  </si>
  <si>
    <t xml:space="preserve">Vencidas </t>
  </si>
  <si>
    <t>Cor. Monet e</t>
  </si>
  <si>
    <t>Juros devidos</t>
  </si>
  <si>
    <t>07/03/1995 à 03/05/95</t>
  </si>
  <si>
    <t>22/01/1996 à 17/09/96</t>
  </si>
  <si>
    <t>20/01/1997 à 02/03/97</t>
  </si>
  <si>
    <t>24/06/1998 à 05/07/98</t>
  </si>
  <si>
    <r>
      <rPr>
        <b/>
        <sz val="8"/>
        <rFont val="Tahoma"/>
        <family val="2"/>
      </rPr>
      <t xml:space="preserve">    </t>
    </r>
    <r>
      <rPr>
        <b/>
        <u val="single"/>
        <sz val="8"/>
        <rFont val="Tahoma"/>
        <family val="2"/>
      </rPr>
      <t>Afastamentos</t>
    </r>
  </si>
  <si>
    <r>
      <t>Título:</t>
    </r>
    <r>
      <rPr>
        <b/>
        <sz val="8"/>
        <rFont val="Tahoma"/>
        <family val="2"/>
      </rPr>
      <t xml:space="preserve"> ADICIONAL DE INSALUBRIDADE EM GRAU MÉDIO (20%) APURADO SOBRE O SALÁRIO MÍNIMO DE 26/04/1995 À 13/10/1998 - REFLEXOS EM HORAS EXTRAS PAGAS, </t>
    </r>
  </si>
  <si>
    <t>Anexo 01</t>
  </si>
  <si>
    <t>Teto</t>
  </si>
  <si>
    <t>Abono</t>
  </si>
  <si>
    <t>Pecuniário</t>
  </si>
  <si>
    <t xml:space="preserve">Abono </t>
  </si>
  <si>
    <t>Emergencial</t>
  </si>
  <si>
    <t>Percentagem</t>
  </si>
  <si>
    <t>Designação</t>
  </si>
  <si>
    <t>Paga-</t>
  </si>
  <si>
    <t>mento</t>
  </si>
  <si>
    <t>Datas</t>
  </si>
  <si>
    <t>Base de Cálculo</t>
  </si>
  <si>
    <t>Vigentes em:</t>
  </si>
  <si>
    <t>Outubro/2000</t>
  </si>
  <si>
    <t>Outubro/2001</t>
  </si>
  <si>
    <t>Outubro/2002</t>
  </si>
  <si>
    <t>Janeiro/2003</t>
  </si>
  <si>
    <t>Janeiro/2004</t>
  </si>
  <si>
    <t>Janeiro/2005</t>
  </si>
  <si>
    <t>Outubro/2006</t>
  </si>
  <si>
    <t>Janeiro/2007</t>
  </si>
  <si>
    <t>Janeiro/2008</t>
  </si>
  <si>
    <t>Parcelas Devidas</t>
  </si>
  <si>
    <t>Sobre o Salário</t>
  </si>
  <si>
    <t>Base observando</t>
  </si>
  <si>
    <t>referente Abono</t>
  </si>
  <si>
    <t>Outubro/2009</t>
  </si>
  <si>
    <t>Sobre</t>
  </si>
  <si>
    <t>os</t>
  </si>
  <si>
    <t>Salários</t>
  </si>
  <si>
    <t>Outubro/2010</t>
  </si>
  <si>
    <t>Outubro/2011</t>
  </si>
  <si>
    <t>Outubro/2012</t>
  </si>
  <si>
    <t>Maio/2003</t>
  </si>
  <si>
    <t>(C.8xC.9)</t>
  </si>
  <si>
    <t>(C.6+C.7)</t>
  </si>
  <si>
    <t>(C.3 % C.5)</t>
  </si>
  <si>
    <t>determinado</t>
  </si>
  <si>
    <t xml:space="preserve">na </t>
  </si>
  <si>
    <t>Convenção</t>
  </si>
  <si>
    <t>Coletiva</t>
  </si>
  <si>
    <t>(C.10%C.11)</t>
  </si>
  <si>
    <t>(C.10 + C.12)</t>
  </si>
  <si>
    <t>Variável</t>
  </si>
  <si>
    <t xml:space="preserve">por </t>
  </si>
  <si>
    <t xml:space="preserve">           Obs.: As Convenções Coletivas utilizadas para efeito de cálculo estão carreadas no presente Artigo de Liquidação</t>
  </si>
  <si>
    <t>02/05/2000 até</t>
  </si>
  <si>
    <r>
      <t>Admissão:</t>
    </r>
    <r>
      <rPr>
        <b/>
        <sz val="8"/>
        <rFont val="Tahoma"/>
        <family val="2"/>
      </rPr>
      <t xml:space="preserve"> 19/06/1985   </t>
    </r>
    <r>
      <rPr>
        <sz val="8"/>
        <rFont val="Tahoma"/>
        <family val="2"/>
      </rPr>
      <t xml:space="preserve">          Demissão:</t>
    </r>
    <r>
      <rPr>
        <b/>
        <sz val="8"/>
        <rFont val="Tahoma"/>
        <family val="2"/>
      </rPr>
      <t xml:space="preserve"> 13/10/1998</t>
    </r>
    <r>
      <rPr>
        <sz val="8"/>
        <rFont val="Tahoma"/>
        <family val="2"/>
      </rPr>
      <t xml:space="preserve">             Distribuição: </t>
    </r>
    <r>
      <rPr>
        <b/>
        <sz val="8"/>
        <rFont val="Tahoma"/>
        <family val="2"/>
      </rPr>
      <t xml:space="preserve">26/04/2000            </t>
    </r>
    <r>
      <rPr>
        <sz val="8"/>
        <rFont val="Tahoma"/>
        <family val="2"/>
      </rPr>
      <t>Citação</t>
    </r>
    <r>
      <rPr>
        <b/>
        <sz val="8"/>
        <rFont val="Tahoma"/>
        <family val="2"/>
      </rPr>
      <t xml:space="preserve">: 02/05/2000          </t>
    </r>
    <r>
      <rPr>
        <sz val="8"/>
        <rFont val="Tahoma"/>
        <family val="2"/>
      </rPr>
      <t xml:space="preserve"> Prescrição:</t>
    </r>
    <r>
      <rPr>
        <b/>
        <sz val="8"/>
        <rFont val="Tahoma"/>
        <family val="2"/>
      </rPr>
      <t xml:space="preserve"> 26/04/1995</t>
    </r>
  </si>
  <si>
    <t xml:space="preserve">    Recebimento Aviso Prévio</t>
  </si>
  <si>
    <r>
      <t xml:space="preserve">Distribuição: </t>
    </r>
    <r>
      <rPr>
        <b/>
        <sz val="8"/>
        <rFont val="Tahoma"/>
        <family val="2"/>
      </rPr>
      <t xml:space="preserve">26/04/2000       </t>
    </r>
    <r>
      <rPr>
        <sz val="8"/>
        <rFont val="Tahoma"/>
        <family val="2"/>
      </rPr>
      <t xml:space="preserve"> Prescrição: </t>
    </r>
    <r>
      <rPr>
        <b/>
        <sz val="8"/>
        <rFont val="Tahoma"/>
        <family val="2"/>
      </rPr>
      <t xml:space="preserve">26/04/1995       </t>
    </r>
    <r>
      <rPr>
        <sz val="8"/>
        <rFont val="Tahoma"/>
        <family val="2"/>
      </rPr>
      <t xml:space="preserve"> Citação:</t>
    </r>
    <r>
      <rPr>
        <b/>
        <sz val="8"/>
        <rFont val="Tahoma"/>
        <family val="2"/>
      </rPr>
      <t xml:space="preserve"> 02/05/2000</t>
    </r>
  </si>
  <si>
    <r>
      <t>Admissão:</t>
    </r>
    <r>
      <rPr>
        <b/>
        <sz val="8"/>
        <rFont val="Tahoma"/>
        <family val="2"/>
      </rPr>
      <t xml:space="preserve"> 19/06/1985   </t>
    </r>
    <r>
      <rPr>
        <sz val="8"/>
        <rFont val="Tahoma"/>
        <family val="2"/>
      </rPr>
      <t xml:space="preserve">                          Demissão:</t>
    </r>
    <r>
      <rPr>
        <b/>
        <sz val="8"/>
        <rFont val="Tahoma"/>
        <family val="2"/>
      </rPr>
      <t xml:space="preserve"> 13/10/1998</t>
    </r>
    <r>
      <rPr>
        <sz val="8"/>
        <rFont val="Tahoma"/>
        <family val="2"/>
      </rPr>
      <t xml:space="preserve">        </t>
    </r>
  </si>
  <si>
    <r>
      <t xml:space="preserve">Distribuição: </t>
    </r>
    <r>
      <rPr>
        <b/>
        <sz val="8"/>
        <rFont val="Tahoma"/>
        <family val="2"/>
      </rPr>
      <t xml:space="preserve">26/04/2000    </t>
    </r>
    <r>
      <rPr>
        <sz val="8"/>
        <rFont val="Tahoma"/>
        <family val="2"/>
      </rPr>
      <t xml:space="preserve">Prescrição: </t>
    </r>
    <r>
      <rPr>
        <b/>
        <sz val="8"/>
        <rFont val="Tahoma"/>
        <family val="2"/>
      </rPr>
      <t xml:space="preserve">26/04/1995    </t>
    </r>
    <r>
      <rPr>
        <sz val="8"/>
        <rFont val="Tahoma"/>
        <family val="2"/>
      </rPr>
      <t>Citação:</t>
    </r>
    <r>
      <rPr>
        <b/>
        <sz val="8"/>
        <rFont val="Tahoma"/>
        <family val="2"/>
      </rPr>
      <t xml:space="preserve"> 02/05/2000</t>
    </r>
  </si>
  <si>
    <r>
      <t>Admissão:</t>
    </r>
    <r>
      <rPr>
        <b/>
        <sz val="8"/>
        <rFont val="Tahoma"/>
        <family val="2"/>
      </rPr>
      <t xml:space="preserve"> 19/06/1985   </t>
    </r>
    <r>
      <rPr>
        <sz val="8"/>
        <rFont val="Tahoma"/>
        <family val="2"/>
      </rPr>
      <t xml:space="preserve">  Demissão:</t>
    </r>
    <r>
      <rPr>
        <b/>
        <sz val="8"/>
        <rFont val="Tahoma"/>
        <family val="2"/>
      </rPr>
      <t xml:space="preserve"> 13/10/1998</t>
    </r>
    <r>
      <rPr>
        <sz val="8"/>
        <rFont val="Tahoma"/>
        <family val="2"/>
      </rPr>
      <t xml:space="preserve">     Distribuição: </t>
    </r>
    <r>
      <rPr>
        <b/>
        <sz val="8"/>
        <rFont val="Tahoma"/>
        <family val="2"/>
      </rPr>
      <t xml:space="preserve">26/04/2000    </t>
    </r>
    <r>
      <rPr>
        <sz val="8"/>
        <rFont val="Tahoma"/>
        <family val="2"/>
      </rPr>
      <t>Citação</t>
    </r>
    <r>
      <rPr>
        <b/>
        <sz val="8"/>
        <rFont val="Tahoma"/>
        <family val="2"/>
      </rPr>
      <t xml:space="preserve">: 02/05/2000    </t>
    </r>
    <r>
      <rPr>
        <sz val="8"/>
        <rFont val="Tahoma"/>
        <family val="2"/>
      </rPr>
      <t xml:space="preserve"> Prescrição:</t>
    </r>
    <r>
      <rPr>
        <b/>
        <sz val="8"/>
        <rFont val="Tahoma"/>
        <family val="2"/>
      </rPr>
      <t xml:space="preserve"> 26/04/1995</t>
    </r>
  </si>
  <si>
    <r>
      <t>Admissão:</t>
    </r>
    <r>
      <rPr>
        <b/>
        <sz val="8"/>
        <rFont val="Tahoma"/>
        <family val="2"/>
      </rPr>
      <t xml:space="preserve"> 19/06/1985                          </t>
    </r>
    <r>
      <rPr>
        <sz val="8"/>
        <rFont val="Tahoma"/>
        <family val="2"/>
      </rPr>
      <t xml:space="preserve">     Demissão:</t>
    </r>
    <r>
      <rPr>
        <b/>
        <sz val="8"/>
        <rFont val="Tahoma"/>
        <family val="2"/>
      </rPr>
      <t xml:space="preserve"> 13/10/1998</t>
    </r>
    <r>
      <rPr>
        <sz val="8"/>
        <rFont val="Tahoma"/>
        <family val="2"/>
      </rPr>
      <t xml:space="preserve">       </t>
    </r>
  </si>
  <si>
    <r>
      <t xml:space="preserve">Distribuição: </t>
    </r>
    <r>
      <rPr>
        <b/>
        <sz val="8"/>
        <rFont val="Tahoma"/>
        <family val="2"/>
      </rPr>
      <t xml:space="preserve">26/04/2000            </t>
    </r>
    <r>
      <rPr>
        <sz val="8"/>
        <rFont val="Tahoma"/>
        <family val="2"/>
      </rPr>
      <t xml:space="preserve"> Prescrição: </t>
    </r>
    <r>
      <rPr>
        <b/>
        <sz val="8"/>
        <rFont val="Tahoma"/>
        <family val="2"/>
      </rPr>
      <t xml:space="preserve">26/04/1995            </t>
    </r>
    <r>
      <rPr>
        <sz val="8"/>
        <rFont val="Tahoma"/>
        <family val="2"/>
      </rPr>
      <t xml:space="preserve"> Citação:</t>
    </r>
    <r>
      <rPr>
        <b/>
        <sz val="8"/>
        <rFont val="Tahoma"/>
        <family val="2"/>
      </rPr>
      <t xml:space="preserve"> 02/05/2000</t>
    </r>
  </si>
  <si>
    <r>
      <t>Reclamante:</t>
    </r>
    <r>
      <rPr>
        <b/>
        <sz val="8"/>
        <rFont val="Tahoma"/>
        <family val="2"/>
      </rPr>
      <t xml:space="preserve"> xxxxxxxxxxxxxxx</t>
    </r>
  </si>
  <si>
    <r>
      <t>Reclamada:</t>
    </r>
    <r>
      <rPr>
        <b/>
        <sz val="8"/>
        <rFont val="Tahoma"/>
        <family val="2"/>
      </rPr>
      <t xml:space="preserve"> xxxxxxxxxxxxxxx</t>
    </r>
  </si>
  <si>
    <t xml:space="preserve">fls. </t>
  </si>
  <si>
    <t>extraída da</t>
  </si>
  <si>
    <t>fls. xxx autos</t>
  </si>
  <si>
    <t xml:space="preserve">   "Planilha elaborada pela equipe do Escritório Sentença Assessoria"</t>
  </si>
  <si>
    <t>"Todos os direitos reservados à Sentença Assessoria"</t>
  </si>
  <si>
    <t>www.sentenca.com.br</t>
  </si>
  <si>
    <r>
      <rPr>
        <sz val="8"/>
        <rFont val="Tahoma"/>
        <family val="2"/>
      </rPr>
      <t xml:space="preserve">Processo: </t>
    </r>
    <r>
      <rPr>
        <b/>
        <sz val="8"/>
        <rFont val="Tahoma"/>
        <family val="2"/>
      </rPr>
      <t>xxxxxxxxxx  -  xxxª Vara do Trabalho de xxxxx</t>
    </r>
  </si>
  <si>
    <t xml:space="preserve">                                              "Planilha elaborada pela equipe do Escritório Sentença Assessoria"</t>
  </si>
  <si>
    <t xml:space="preserve">     fls. xxx dos autos</t>
  </si>
  <si>
    <t>De 21/09/98 à 10/10/98</t>
  </si>
  <si>
    <t>De 16/03/98 à 14/04/98</t>
  </si>
  <si>
    <t>De 14/04/97 à 03/05/97</t>
  </si>
  <si>
    <t>De 18/09/96 à 27/09/96</t>
  </si>
  <si>
    <t>De 18/12/95 à 06/01/96</t>
  </si>
  <si>
    <t>20 d. fls. xxx dos autos</t>
  </si>
  <si>
    <t>10 d. fls. xxx dos autos</t>
  </si>
  <si>
    <t>30 d. fls. xxx dos autos</t>
  </si>
  <si>
    <t>fls.xxx</t>
  </si>
  <si>
    <t>fls xxx dos</t>
  </si>
  <si>
    <t xml:space="preserve">           FÉRIAS + 1/3, 13º SALÁRIO, AVISO PRÉVIO, FGTS + 40% - (CÁLCULOS EFETUADOS NO ESTADO DO PROCESSO)</t>
  </si>
  <si>
    <t xml:space="preserve">                                               "Planilha elaborada pela equipe do Escritório Sentença Assessoria"</t>
  </si>
  <si>
    <t xml:space="preserve">                     "Planilha elaborada pela equipe do Escritório Sentença Assessoria"</t>
  </si>
  <si>
    <t xml:space="preserve">                              "Planilha elaborada pela equipe do Escritório Sentença Assessoria"</t>
  </si>
  <si>
    <t xml:space="preserve">                                         "Planilha elaborada pela equipe do Escritório Sentença Assessoria"</t>
  </si>
  <si>
    <r>
      <t>Admissão:</t>
    </r>
    <r>
      <rPr>
        <b/>
        <sz val="8"/>
        <rFont val="Tahoma"/>
        <family val="2"/>
      </rPr>
      <t xml:space="preserve"> 19/06/1985   </t>
    </r>
    <r>
      <rPr>
        <sz val="8"/>
        <rFont val="Tahoma"/>
        <family val="2"/>
      </rPr>
      <t xml:space="preserve">     Demissão:</t>
    </r>
    <r>
      <rPr>
        <b/>
        <sz val="8"/>
        <rFont val="Tahoma"/>
        <family val="2"/>
      </rPr>
      <t xml:space="preserve"> 13/10/1998</t>
    </r>
    <r>
      <rPr>
        <sz val="8"/>
        <rFont val="Tahoma"/>
        <family val="2"/>
      </rPr>
      <t xml:space="preserve">          Distribuição: </t>
    </r>
    <r>
      <rPr>
        <b/>
        <sz val="8"/>
        <rFont val="Tahoma"/>
        <family val="2"/>
      </rPr>
      <t xml:space="preserve">26/04/2000        </t>
    </r>
    <r>
      <rPr>
        <sz val="8"/>
        <rFont val="Tahoma"/>
        <family val="2"/>
      </rPr>
      <t>Citação</t>
    </r>
    <r>
      <rPr>
        <b/>
        <sz val="8"/>
        <rFont val="Tahoma"/>
        <family val="2"/>
      </rPr>
      <t xml:space="preserve">: 02/05/2000        </t>
    </r>
    <r>
      <rPr>
        <sz val="8"/>
        <rFont val="Tahoma"/>
        <family val="2"/>
      </rPr>
      <t xml:space="preserve"> Prescrição:</t>
    </r>
    <r>
      <rPr>
        <b/>
        <sz val="8"/>
        <rFont val="Tahoma"/>
        <family val="2"/>
      </rPr>
      <t xml:space="preserve"> 26/04/1995</t>
    </r>
  </si>
  <si>
    <t>(C.2 + C.3)</t>
  </si>
  <si>
    <t>"Planilha elaborada pela equipe do Escritório Sentença Assessoria"</t>
  </si>
  <si>
    <t xml:space="preserve">                          "Planilha elaborada pela equipe do Escritório Sentença Assessoria"</t>
  </si>
  <si>
    <t xml:space="preserve">                    "Planilha elaborada pela equipe do Escritório Sentença Assessoria"</t>
  </si>
  <si>
    <t xml:space="preserve">                                             "Planilha elaborada pela equipe do Escritório Sentença Assessoria"</t>
  </si>
  <si>
    <t>Menor ao Teto</t>
  </si>
  <si>
    <t xml:space="preserve">        "Planilha elaborada pela equipe do Escritório Sentença Assessoria"</t>
  </si>
  <si>
    <t xml:space="preserve">                   "Planilha elaborada pela equipe do Escritório Sentença Assessoria"</t>
  </si>
  <si>
    <t xml:space="preserve">           DESDE O AJUIZAMENTO DA DEMANDA ATÉ A APOSENTADORIA EM SEUS PRAZOS MÍNIMOS QUE SE ESTENDE ATÉ 21/10/2013 ACRESCIDOS DE TODOS OS</t>
  </si>
  <si>
    <t xml:space="preserve">           REAJUSTES SALARIAIS E DEMAIS BENEFÍCIOS OBTIDOS PELA CATEGORIA -  (CÁLCULOS EFETUADOS NO ESTADO DO PROCESSO)</t>
  </si>
  <si>
    <r>
      <t>Título:</t>
    </r>
    <r>
      <rPr>
        <b/>
        <sz val="8"/>
        <rFont val="Tahoma"/>
        <family val="2"/>
      </rPr>
      <t xml:space="preserve"> BENEFÍCIOS OBTIDOS PELA CATEGORIA DEVIDO À REINTEGRAÇÃO DE ACORDO COM A CONVENÇÃO COLETIVA DA CATEGORIA ABONO PECUNIÁRIO/</t>
    </r>
  </si>
  <si>
    <t xml:space="preserve">           EMERGENCIAL DESDE O AJUIZAMENTO DA DEMANDA ATÉ A APOSENTADORIA EM SEUS PRAZOS MÍNIMOS QUE SE ESTENDE ATÉ 21/10/2013.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</si>
</sst>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00000_);_(* \(#,##0.000000\);_(* &quot;-&quot;??_);_(@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????_);_(@_)"/>
    <numFmt numFmtId="197" formatCode="0.0%"/>
    <numFmt numFmtId="198" formatCode="dd\-mmm\-yy"/>
    <numFmt numFmtId="199" formatCode="_(* #,##0.0000000_);_(* \(#,##0.0000000\);_(* &quot;-&quot;??_);_(@_)"/>
    <numFmt numFmtId="200" formatCode="_(* #,##0.00000000_);_(* \(#,##0.00000000\);_(* &quot;-&quot;??_);_(@_)"/>
    <numFmt numFmtId="201" formatCode="#,##0.000000000"/>
    <numFmt numFmtId="202" formatCode="_(* #,##0.000000000_);_(* \(#,##0.000000000\);_(* &quot;-&quot;?????????_);_(@_)"/>
    <numFmt numFmtId="203" formatCode="#,##0.0000"/>
    <numFmt numFmtId="204" formatCode="#,##0.0000000"/>
    <numFmt numFmtId="205" formatCode="mmmm\-yyyy"/>
    <numFmt numFmtId="206" formatCode="0.000000000"/>
    <numFmt numFmtId="207" formatCode="_-* #,##0.000000_-;\-* #,##0.000000_-;_-* &quot;-&quot;??????_-;_-@_-"/>
    <numFmt numFmtId="208" formatCode="[$-416]dddd\,\ d&quot; de &quot;mmmm&quot; de &quot;yyyy"/>
    <numFmt numFmtId="209" formatCode="_-* #,##0.000000000_-;\-* #,##0.000000000_-;_-* &quot;-&quot;?????????_-;_-@_-"/>
    <numFmt numFmtId="210" formatCode="#,##0.00000"/>
    <numFmt numFmtId="211" formatCode="_-* #,##0.00000_-;\-* #,##0.00000_-;_-* &quot;-&quot;?????_-;_-@_-"/>
    <numFmt numFmtId="212" formatCode="&quot;R$&quot;\ #,##0.0000"/>
    <numFmt numFmtId="213" formatCode="#,##0.00_ ;\-#,##0.00\ "/>
    <numFmt numFmtId="214" formatCode="dd/mm/yy;@"/>
    <numFmt numFmtId="215" formatCode="#,##0.00000000"/>
    <numFmt numFmtId="216" formatCode="#,##0.0000000000"/>
    <numFmt numFmtId="217" formatCode="#,##0.00000000000"/>
    <numFmt numFmtId="218" formatCode="#,##0.000000000000"/>
    <numFmt numFmtId="219" formatCode="#,##0.0000000000000"/>
    <numFmt numFmtId="220" formatCode="_-* #,##0.00000000_-;\-* #,##0.00000000_-;_-* &quot;-&quot;????????_-;_-@_-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14"/>
      <name val="Calibri"/>
      <family val="2"/>
    </font>
    <font>
      <u val="single"/>
      <sz val="8"/>
      <color indexed="12"/>
      <name val="Tahoma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i/>
      <sz val="10"/>
      <color indexed="10"/>
      <name val="Tahoma"/>
      <family val="2"/>
    </font>
    <font>
      <b/>
      <i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sz val="12"/>
      <color rgb="FF000000"/>
      <name val="Times New Roman"/>
      <family val="1"/>
    </font>
    <font>
      <b/>
      <sz val="8"/>
      <color rgb="FFFFFFFF"/>
      <name val="Tahoma"/>
      <family val="2"/>
    </font>
    <font>
      <b/>
      <sz val="8"/>
      <color rgb="FF000000"/>
      <name val="Tahoma"/>
      <family val="2"/>
    </font>
    <font>
      <sz val="8"/>
      <color rgb="FFFF0000"/>
      <name val="Tahoma"/>
      <family val="2"/>
    </font>
    <font>
      <b/>
      <i/>
      <sz val="10"/>
      <color rgb="FFFF0000"/>
      <name val="Tahoma"/>
      <family val="2"/>
    </font>
    <font>
      <b/>
      <i/>
      <sz val="9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/>
      <right style="hair"/>
      <top style="double"/>
      <bottom/>
    </border>
    <border>
      <left style="double"/>
      <right style="hair"/>
      <top/>
      <bottom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1" fontId="4" fillId="0" borderId="0" xfId="54" applyFont="1" applyBorder="1" applyAlignment="1">
      <alignment/>
    </xf>
    <xf numFmtId="171" fontId="5" fillId="0" borderId="0" xfId="54" applyFont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54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71" fontId="4" fillId="0" borderId="11" xfId="54" applyFont="1" applyBorder="1" applyAlignment="1">
      <alignment/>
    </xf>
    <xf numFmtId="171" fontId="4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right"/>
    </xf>
    <xf numFmtId="201" fontId="4" fillId="33" borderId="11" xfId="50" applyNumberFormat="1" applyFont="1" applyFill="1" applyBorder="1" applyAlignment="1" applyProtection="1">
      <alignment vertical="center" shrinkToFit="1"/>
      <protection hidden="1"/>
    </xf>
    <xf numFmtId="18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17" fontId="4" fillId="0" borderId="0" xfId="0" applyNumberFormat="1" applyFont="1" applyBorder="1" applyAlignment="1">
      <alignment horizontal="right"/>
    </xf>
    <xf numFmtId="17" fontId="4" fillId="0" borderId="0" xfId="0" applyNumberFormat="1" applyFont="1" applyBorder="1" applyAlignment="1">
      <alignment horizontal="left"/>
    </xf>
    <xf numFmtId="201" fontId="4" fillId="33" borderId="0" xfId="5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14" xfId="0" applyNumberFormat="1" applyFont="1" applyFill="1" applyBorder="1" applyAlignment="1" quotePrefix="1">
      <alignment horizontal="center"/>
    </xf>
    <xf numFmtId="4" fontId="0" fillId="33" borderId="0" xfId="0" applyNumberFormat="1" applyFill="1" applyAlignment="1">
      <alignment horizontal="center" vertical="center"/>
    </xf>
    <xf numFmtId="17" fontId="4" fillId="33" borderId="0" xfId="0" applyNumberFormat="1" applyFont="1" applyFill="1" applyBorder="1" applyAlignment="1">
      <alignment horizontal="center" vertical="center"/>
    </xf>
    <xf numFmtId="17" fontId="4" fillId="33" borderId="0" xfId="0" applyNumberFormat="1" applyFont="1" applyFill="1" applyBorder="1" applyAlignment="1">
      <alignment horizontal="left" vertical="center"/>
    </xf>
    <xf numFmtId="17" fontId="5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/>
    </xf>
    <xf numFmtId="4" fontId="5" fillId="33" borderId="12" xfId="0" applyNumberFormat="1" applyFont="1" applyFill="1" applyBorder="1" applyAlignment="1" quotePrefix="1">
      <alignment horizontal="center" vertical="center"/>
    </xf>
    <xf numFmtId="4" fontId="5" fillId="33" borderId="10" xfId="0" applyNumberFormat="1" applyFont="1" applyFill="1" applyBorder="1" applyAlignment="1" quotePrefix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7" fontId="4" fillId="33" borderId="16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17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 quotePrefix="1">
      <alignment horizontal="center"/>
    </xf>
    <xf numFmtId="0" fontId="4" fillId="33" borderId="27" xfId="0" applyNumberFormat="1" applyFont="1" applyFill="1" applyBorder="1" applyAlignment="1">
      <alignment horizontal="center"/>
    </xf>
    <xf numFmtId="17" fontId="4" fillId="33" borderId="19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center"/>
    </xf>
    <xf numFmtId="200" fontId="4" fillId="33" borderId="11" xfId="54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171" fontId="4" fillId="0" borderId="11" xfId="54" applyFont="1" applyFill="1" applyBorder="1" applyAlignment="1">
      <alignment/>
    </xf>
    <xf numFmtId="49" fontId="4" fillId="0" borderId="24" xfId="54" applyNumberFormat="1" applyFont="1" applyFill="1" applyBorder="1" applyAlignment="1">
      <alignment horizontal="center" vertical="center"/>
    </xf>
    <xf numFmtId="49" fontId="4" fillId="0" borderId="14" xfId="54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/>
    </xf>
    <xf numFmtId="49" fontId="4" fillId="0" borderId="25" xfId="54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29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left"/>
    </xf>
    <xf numFmtId="171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5" xfId="0" applyNumberFormat="1" applyFont="1" applyBorder="1" applyAlignment="1">
      <alignment horizontal="right"/>
    </xf>
    <xf numFmtId="171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left" vertical="center"/>
    </xf>
    <xf numFmtId="4" fontId="4" fillId="33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4" fontId="5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5" fillId="34" borderId="37" xfId="0" applyFont="1" applyFill="1" applyBorder="1" applyAlignment="1">
      <alignment horizontal="left"/>
    </xf>
    <xf numFmtId="0" fontId="16" fillId="34" borderId="38" xfId="0" applyFont="1" applyFill="1" applyBorder="1" applyAlignment="1">
      <alignment horizontal="center"/>
    </xf>
    <xf numFmtId="0" fontId="17" fillId="34" borderId="38" xfId="0" applyFont="1" applyFill="1" applyBorder="1" applyAlignment="1">
      <alignment horizontal="center"/>
    </xf>
    <xf numFmtId="0" fontId="18" fillId="34" borderId="38" xfId="0" applyFont="1" applyFill="1" applyBorder="1" applyAlignment="1">
      <alignment horizontal="center"/>
    </xf>
    <xf numFmtId="0" fontId="18" fillId="34" borderId="39" xfId="0" applyFont="1" applyFill="1" applyBorder="1" applyAlignment="1">
      <alignment horizontal="center"/>
    </xf>
    <xf numFmtId="0" fontId="17" fillId="34" borderId="40" xfId="0" applyFont="1" applyFill="1" applyBorder="1" applyAlignment="1">
      <alignment horizontal="left"/>
    </xf>
    <xf numFmtId="0" fontId="17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41" xfId="0" applyFont="1" applyFill="1" applyBorder="1" applyAlignment="1">
      <alignment horizontal="center"/>
    </xf>
    <xf numFmtId="0" fontId="16" fillId="34" borderId="4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center"/>
    </xf>
    <xf numFmtId="0" fontId="19" fillId="34" borderId="42" xfId="0" applyFont="1" applyFill="1" applyBorder="1" applyAlignment="1">
      <alignment horizontal="left"/>
    </xf>
    <xf numFmtId="0" fontId="16" fillId="34" borderId="43" xfId="0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0" fontId="18" fillId="34" borderId="4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35" borderId="45" xfId="0" applyFont="1" applyFill="1" applyBorder="1" applyAlignment="1">
      <alignment horizontal="center"/>
    </xf>
    <xf numFmtId="0" fontId="19" fillId="36" borderId="45" xfId="0" applyFont="1" applyFill="1" applyBorder="1" applyAlignment="1">
      <alignment horizontal="center"/>
    </xf>
    <xf numFmtId="201" fontId="17" fillId="37" borderId="45" xfId="50" applyNumberFormat="1" applyFont="1" applyFill="1" applyBorder="1" applyAlignment="1" applyProtection="1">
      <alignment horizontal="center" vertical="center" shrinkToFit="1"/>
      <protection hidden="1"/>
    </xf>
    <xf numFmtId="201" fontId="17" fillId="0" borderId="45" xfId="50" applyNumberFormat="1" applyFont="1" applyFill="1" applyBorder="1" applyAlignment="1" applyProtection="1">
      <alignment horizontal="center" vertical="center" shrinkToFit="1"/>
      <protection hidden="1"/>
    </xf>
    <xf numFmtId="201" fontId="17" fillId="38" borderId="45" xfId="50" applyNumberFormat="1" applyFont="1" applyFill="1" applyBorder="1" applyAlignment="1" applyProtection="1">
      <alignment horizontal="center" vertical="center" shrinkToFit="1"/>
      <protection hidden="1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33" borderId="49" xfId="0" applyNumberFormat="1" applyFont="1" applyFill="1" applyBorder="1" applyAlignment="1">
      <alignment horizontal="center" vertical="center"/>
    </xf>
    <xf numFmtId="203" fontId="4" fillId="33" borderId="24" xfId="0" applyNumberFormat="1" applyFont="1" applyFill="1" applyBorder="1" applyAlignment="1">
      <alignment horizontal="center" vertical="center"/>
    </xf>
    <xf numFmtId="203" fontId="4" fillId="33" borderId="17" xfId="0" applyNumberFormat="1" applyFont="1" applyFill="1" applyBorder="1" applyAlignment="1">
      <alignment horizontal="center" vertical="center"/>
    </xf>
    <xf numFmtId="203" fontId="4" fillId="33" borderId="14" xfId="0" applyNumberFormat="1" applyFont="1" applyFill="1" applyBorder="1" applyAlignment="1">
      <alignment horizontal="center" vertical="center"/>
    </xf>
    <xf numFmtId="203" fontId="4" fillId="33" borderId="18" xfId="0" applyNumberFormat="1" applyFont="1" applyFill="1" applyBorder="1" applyAlignment="1">
      <alignment horizontal="center" vertical="center"/>
    </xf>
    <xf numFmtId="17" fontId="4" fillId="33" borderId="50" xfId="0" applyNumberFormat="1" applyFont="1" applyFill="1" applyBorder="1" applyAlignment="1">
      <alignment horizontal="right" vertical="center"/>
    </xf>
    <xf numFmtId="171" fontId="4" fillId="33" borderId="50" xfId="54" applyFont="1" applyFill="1" applyBorder="1" applyAlignment="1">
      <alignment horizontal="right" vertical="center"/>
    </xf>
    <xf numFmtId="4" fontId="0" fillId="39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171" fontId="4" fillId="33" borderId="11" xfId="54" applyNumberFormat="1" applyFont="1" applyFill="1" applyBorder="1" applyAlignment="1">
      <alignment horizontal="center" vertical="center"/>
    </xf>
    <xf numFmtId="4" fontId="0" fillId="39" borderId="0" xfId="0" applyNumberForma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17" fontId="4" fillId="0" borderId="11" xfId="0" applyNumberFormat="1" applyFont="1" applyBorder="1" applyAlignment="1">
      <alignment horizontal="right"/>
    </xf>
    <xf numFmtId="171" fontId="4" fillId="0" borderId="52" xfId="54" applyFont="1" applyBorder="1" applyAlignment="1">
      <alignment horizontal="left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right"/>
    </xf>
    <xf numFmtId="171" fontId="4" fillId="0" borderId="11" xfId="54" applyFont="1" applyFill="1" applyBorder="1" applyAlignment="1">
      <alignment horizontal="right"/>
    </xf>
    <xf numFmtId="171" fontId="5" fillId="0" borderId="54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0" fontId="4" fillId="0" borderId="35" xfId="0" applyNumberFormat="1" applyFont="1" applyBorder="1" applyAlignment="1">
      <alignment horizontal="left"/>
    </xf>
    <xf numFmtId="171" fontId="4" fillId="0" borderId="0" xfId="0" applyNumberFormat="1" applyFont="1" applyAlignment="1" quotePrefix="1">
      <alignment horizontal="left"/>
    </xf>
    <xf numFmtId="0" fontId="4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/>
    </xf>
    <xf numFmtId="171" fontId="4" fillId="0" borderId="0" xfId="54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171" fontId="4" fillId="0" borderId="0" xfId="0" applyNumberFormat="1" applyFont="1" applyFill="1" applyAlignment="1">
      <alignment horizontal="right"/>
    </xf>
    <xf numFmtId="171" fontId="4" fillId="0" borderId="0" xfId="54" applyFont="1" applyFill="1" applyBorder="1" applyAlignment="1">
      <alignment horizontal="right"/>
    </xf>
    <xf numFmtId="171" fontId="4" fillId="0" borderId="0" xfId="54" applyFont="1" applyFill="1" applyAlignment="1">
      <alignment/>
    </xf>
    <xf numFmtId="171" fontId="4" fillId="0" borderId="30" xfId="54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7" fontId="4" fillId="0" borderId="0" xfId="52" applyNumberFormat="1" applyFont="1" applyFill="1" applyAlignment="1">
      <alignment horizontal="right"/>
    </xf>
    <xf numFmtId="171" fontId="4" fillId="0" borderId="35" xfId="54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/>
    </xf>
    <xf numFmtId="4" fontId="66" fillId="0" borderId="0" xfId="0" applyNumberFormat="1" applyFont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68" fillId="23" borderId="55" xfId="0" applyNumberFormat="1" applyFont="1" applyFill="1" applyBorder="1" applyAlignment="1">
      <alignment horizontal="center" vertical="center" wrapText="1"/>
    </xf>
    <xf numFmtId="4" fontId="68" fillId="23" borderId="5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57" xfId="0" applyNumberFormat="1" applyFont="1" applyBorder="1" applyAlignment="1">
      <alignment horizontal="center" vertical="top" wrapText="1"/>
    </xf>
    <xf numFmtId="4" fontId="0" fillId="0" borderId="58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left" vertical="center" wrapText="1" indent="1"/>
    </xf>
    <xf numFmtId="4" fontId="0" fillId="0" borderId="0" xfId="0" applyNumberFormat="1" applyFont="1" applyAlignment="1">
      <alignment horizontal="center" vertical="center"/>
    </xf>
    <xf numFmtId="4" fontId="69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/>
    </xf>
    <xf numFmtId="4" fontId="4" fillId="39" borderId="0" xfId="0" applyNumberFormat="1" applyFont="1" applyFill="1" applyBorder="1" applyAlignment="1">
      <alignment horizontal="center" vertical="center"/>
    </xf>
    <xf numFmtId="4" fontId="4" fillId="39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03" fontId="4" fillId="33" borderId="25" xfId="0" applyNumberFormat="1" applyFont="1" applyFill="1" applyBorder="1" applyAlignment="1">
      <alignment horizontal="center" vertical="center"/>
    </xf>
    <xf numFmtId="203" fontId="4" fillId="33" borderId="20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171" fontId="5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171" fontId="4" fillId="0" borderId="30" xfId="54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30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/>
    </xf>
    <xf numFmtId="0" fontId="5" fillId="0" borderId="30" xfId="0" applyNumberFormat="1" applyFont="1" applyBorder="1" applyAlignment="1">
      <alignment horizontal="right"/>
    </xf>
    <xf numFmtId="171" fontId="5" fillId="0" borderId="3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171" fontId="4" fillId="0" borderId="0" xfId="0" applyNumberFormat="1" applyFont="1" applyFill="1" applyBorder="1" applyAlignment="1" quotePrefix="1">
      <alignment horizontal="center"/>
    </xf>
    <xf numFmtId="14" fontId="5" fillId="0" borderId="0" xfId="0" applyNumberFormat="1" applyFont="1" applyFill="1" applyBorder="1" applyAlignment="1" quotePrefix="1">
      <alignment horizontal="center"/>
    </xf>
    <xf numFmtId="171" fontId="4" fillId="0" borderId="0" xfId="54" applyFont="1" applyFill="1" applyBorder="1" applyAlignment="1" quotePrefix="1">
      <alignment horizontal="center"/>
    </xf>
    <xf numFmtId="171" fontId="4" fillId="0" borderId="35" xfId="54" applyFont="1" applyFill="1" applyBorder="1" applyAlignment="1" quotePrefix="1">
      <alignment horizontal="center"/>
    </xf>
    <xf numFmtId="171" fontId="5" fillId="0" borderId="0" xfId="54" applyFont="1" applyFill="1" applyBorder="1" applyAlignment="1" quotePrefix="1">
      <alignment horizontal="center"/>
    </xf>
    <xf numFmtId="4" fontId="5" fillId="33" borderId="0" xfId="0" applyNumberFormat="1" applyFont="1" applyFill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/>
    </xf>
    <xf numFmtId="4" fontId="5" fillId="33" borderId="54" xfId="0" applyNumberFormat="1" applyFont="1" applyFill="1" applyBorder="1" applyAlignment="1">
      <alignment horizontal="center" vertical="center"/>
    </xf>
    <xf numFmtId="4" fontId="4" fillId="33" borderId="54" xfId="0" applyNumberFormat="1" applyFont="1" applyFill="1" applyBorder="1" applyAlignment="1">
      <alignment horizontal="center" vertical="center"/>
    </xf>
    <xf numFmtId="4" fontId="5" fillId="39" borderId="54" xfId="0" applyNumberFormat="1" applyFont="1" applyFill="1" applyBorder="1" applyAlignment="1">
      <alignment horizontal="center" vertical="center"/>
    </xf>
    <xf numFmtId="171" fontId="5" fillId="0" borderId="0" xfId="0" applyNumberFormat="1" applyFont="1" applyBorder="1" applyAlignment="1">
      <alignment/>
    </xf>
    <xf numFmtId="0" fontId="13" fillId="0" borderId="32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171" fontId="13" fillId="0" borderId="0" xfId="54" applyFont="1" applyBorder="1" applyAlignment="1">
      <alignment horizontal="left"/>
    </xf>
    <xf numFmtId="171" fontId="13" fillId="0" borderId="0" xfId="54" applyFont="1" applyBorder="1" applyAlignment="1">
      <alignment/>
    </xf>
    <xf numFmtId="0" fontId="13" fillId="0" borderId="33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171" fontId="5" fillId="0" borderId="0" xfId="54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71" fontId="5" fillId="0" borderId="35" xfId="0" applyNumberFormat="1" applyFont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0" fontId="23" fillId="0" borderId="0" xfId="0" applyNumberFormat="1" applyFont="1" applyAlignment="1">
      <alignment/>
    </xf>
    <xf numFmtId="0" fontId="4" fillId="33" borderId="14" xfId="0" applyNumberFormat="1" applyFont="1" applyFill="1" applyBorder="1" applyAlignment="1" quotePrefix="1">
      <alignment horizontal="center"/>
    </xf>
    <xf numFmtId="14" fontId="4" fillId="33" borderId="14" xfId="0" applyNumberFormat="1" applyFont="1" applyFill="1" applyBorder="1" applyAlignment="1" quotePrefix="1">
      <alignment horizontal="center"/>
    </xf>
    <xf numFmtId="14" fontId="5" fillId="33" borderId="25" xfId="0" applyNumberFormat="1" applyFont="1" applyFill="1" applyBorder="1" applyAlignment="1" quotePrefix="1">
      <alignment horizontal="center"/>
    </xf>
    <xf numFmtId="205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 vertical="center"/>
    </xf>
    <xf numFmtId="205" fontId="5" fillId="0" borderId="10" xfId="0" applyNumberFormat="1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textRotation="255"/>
    </xf>
    <xf numFmtId="49" fontId="4" fillId="0" borderId="6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center" vertical="center"/>
    </xf>
    <xf numFmtId="4" fontId="4" fillId="33" borderId="50" xfId="0" applyNumberFormat="1" applyFont="1" applyFill="1" applyBorder="1" applyAlignment="1">
      <alignment horizontal="right" vertical="center"/>
    </xf>
    <xf numFmtId="4" fontId="7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04" fontId="4" fillId="0" borderId="11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52" xfId="0" applyNumberFormat="1" applyFont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1" fontId="4" fillId="0" borderId="54" xfId="0" applyNumberFormat="1" applyFont="1" applyBorder="1" applyAlignment="1">
      <alignment/>
    </xf>
    <xf numFmtId="0" fontId="24" fillId="0" borderId="25" xfId="0" applyFont="1" applyFill="1" applyBorder="1" applyAlignment="1">
      <alignment horizontal="center"/>
    </xf>
    <xf numFmtId="17" fontId="4" fillId="0" borderId="11" xfId="0" applyNumberFormat="1" applyFont="1" applyBorder="1" applyAlignment="1">
      <alignment horizontal="left"/>
    </xf>
    <xf numFmtId="17" fontId="0" fillId="33" borderId="0" xfId="0" applyNumberFormat="1" applyFill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5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" fontId="7" fillId="33" borderId="51" xfId="0" applyNumberFormat="1" applyFont="1" applyFill="1" applyBorder="1" applyAlignment="1">
      <alignment horizontal="center" vertical="center"/>
    </xf>
    <xf numFmtId="17" fontId="4" fillId="33" borderId="59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/>
    </xf>
    <xf numFmtId="17" fontId="4" fillId="33" borderId="6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 quotePrefix="1">
      <alignment horizontal="center"/>
    </xf>
    <xf numFmtId="9" fontId="4" fillId="33" borderId="22" xfId="0" applyNumberFormat="1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17" fontId="4" fillId="33" borderId="61" xfId="0" applyNumberFormat="1" applyFont="1" applyFill="1" applyBorder="1" applyAlignment="1">
      <alignment horizontal="center" vertical="center"/>
    </xf>
    <xf numFmtId="17" fontId="4" fillId="33" borderId="23" xfId="0" applyNumberFormat="1" applyFont="1" applyFill="1" applyBorder="1" applyAlignment="1">
      <alignment horizontal="center" vertical="center"/>
    </xf>
    <xf numFmtId="4" fontId="5" fillId="40" borderId="54" xfId="0" applyNumberFormat="1" applyFont="1" applyFill="1" applyBorder="1" applyAlignment="1">
      <alignment horizontal="center" vertical="center"/>
    </xf>
    <xf numFmtId="17" fontId="7" fillId="33" borderId="62" xfId="0" applyNumberFormat="1" applyFont="1" applyFill="1" applyBorder="1" applyAlignment="1">
      <alignment horizontal="center" vertical="center"/>
    </xf>
    <xf numFmtId="17" fontId="7" fillId="33" borderId="0" xfId="0" applyNumberFormat="1" applyFont="1" applyFill="1" applyBorder="1" applyAlignment="1">
      <alignment horizontal="center" vertical="center"/>
    </xf>
    <xf numFmtId="171" fontId="7" fillId="33" borderId="0" xfId="54" applyFont="1" applyFill="1" applyBorder="1" applyAlignment="1">
      <alignment horizontal="center" vertical="center"/>
    </xf>
    <xf numFmtId="4" fontId="4" fillId="33" borderId="63" xfId="0" applyNumberFormat="1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14" fontId="5" fillId="33" borderId="0" xfId="0" applyNumberFormat="1" applyFont="1" applyFill="1" applyBorder="1" applyAlignment="1" quotePrefix="1">
      <alignment horizontal="center"/>
    </xf>
    <xf numFmtId="171" fontId="4" fillId="33" borderId="11" xfId="54" applyFont="1" applyFill="1" applyBorder="1" applyAlignment="1">
      <alignment horizontal="center" vertical="center"/>
    </xf>
    <xf numFmtId="186" fontId="4" fillId="33" borderId="11" xfId="54" applyNumberFormat="1" applyFont="1" applyFill="1" applyBorder="1" applyAlignment="1">
      <alignment horizontal="center" vertical="center"/>
    </xf>
    <xf numFmtId="171" fontId="4" fillId="33" borderId="11" xfId="54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71" fontId="4" fillId="33" borderId="11" xfId="0" applyNumberFormat="1" applyFont="1" applyFill="1" applyBorder="1" applyAlignment="1">
      <alignment/>
    </xf>
    <xf numFmtId="171" fontId="4" fillId="33" borderId="0" xfId="54" applyFont="1" applyFill="1" applyBorder="1" applyAlignment="1">
      <alignment horizontal="left" vertical="center"/>
    </xf>
    <xf numFmtId="186" fontId="4" fillId="33" borderId="0" xfId="54" applyNumberFormat="1" applyFont="1" applyFill="1" applyBorder="1" applyAlignment="1">
      <alignment horizontal="left" vertical="center"/>
    </xf>
    <xf numFmtId="200" fontId="4" fillId="33" borderId="0" xfId="54" applyNumberFormat="1" applyFont="1" applyFill="1" applyBorder="1" applyAlignment="1">
      <alignment/>
    </xf>
    <xf numFmtId="171" fontId="4" fillId="33" borderId="0" xfId="54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71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left" vertical="center"/>
    </xf>
    <xf numFmtId="0" fontId="1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/>
    </xf>
    <xf numFmtId="17" fontId="4" fillId="33" borderId="24" xfId="0" applyNumberFormat="1" applyFont="1" applyFill="1" applyBorder="1" applyAlignment="1">
      <alignment horizontal="center" vertical="center"/>
    </xf>
    <xf numFmtId="17" fontId="4" fillId="33" borderId="21" xfId="0" applyNumberFormat="1" applyFont="1" applyFill="1" applyBorder="1" applyAlignment="1">
      <alignment horizontal="center" vertical="center"/>
    </xf>
    <xf numFmtId="17" fontId="4" fillId="33" borderId="14" xfId="0" applyNumberFormat="1" applyFont="1" applyFill="1" applyBorder="1" applyAlignment="1">
      <alignment horizontal="center" vertical="center"/>
    </xf>
    <xf numFmtId="17" fontId="4" fillId="33" borderId="22" xfId="0" applyNumberFormat="1" applyFont="1" applyFill="1" applyBorder="1" applyAlignment="1">
      <alignment horizontal="center" vertical="center"/>
    </xf>
    <xf numFmtId="17" fontId="4" fillId="33" borderId="25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left" vertical="center"/>
    </xf>
    <xf numFmtId="14" fontId="5" fillId="0" borderId="25" xfId="0" applyNumberFormat="1" applyFont="1" applyFill="1" applyBorder="1" applyAlignment="1" quotePrefix="1">
      <alignment horizontal="center"/>
    </xf>
    <xf numFmtId="17" fontId="4" fillId="33" borderId="11" xfId="0" applyNumberFormat="1" applyFont="1" applyFill="1" applyBorder="1" applyAlignment="1">
      <alignment horizontal="right" vertical="center"/>
    </xf>
    <xf numFmtId="171" fontId="4" fillId="33" borderId="11" xfId="54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 horizontal="center" vertical="center"/>
    </xf>
    <xf numFmtId="212" fontId="4" fillId="0" borderId="0" xfId="0" applyNumberFormat="1" applyFont="1" applyFill="1" applyBorder="1" applyAlignment="1">
      <alignment horizontal="center" vertical="center"/>
    </xf>
    <xf numFmtId="17" fontId="4" fillId="39" borderId="50" xfId="0" applyNumberFormat="1" applyFont="1" applyFill="1" applyBorder="1" applyAlignment="1">
      <alignment horizontal="right" vertical="center"/>
    </xf>
    <xf numFmtId="4" fontId="4" fillId="39" borderId="50" xfId="0" applyNumberFormat="1" applyFont="1" applyFill="1" applyBorder="1" applyAlignment="1">
      <alignment horizontal="right" vertical="center"/>
    </xf>
    <xf numFmtId="204" fontId="4" fillId="39" borderId="11" xfId="0" applyNumberFormat="1" applyFont="1" applyFill="1" applyBorder="1" applyAlignment="1">
      <alignment/>
    </xf>
    <xf numFmtId="4" fontId="4" fillId="39" borderId="52" xfId="0" applyNumberFormat="1" applyFont="1" applyFill="1" applyBorder="1" applyAlignment="1">
      <alignment/>
    </xf>
    <xf numFmtId="186" fontId="4" fillId="39" borderId="11" xfId="54" applyNumberFormat="1" applyFont="1" applyFill="1" applyBorder="1" applyAlignment="1">
      <alignment horizontal="center"/>
    </xf>
    <xf numFmtId="171" fontId="4" fillId="39" borderId="11" xfId="54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50" xfId="0" applyFont="1" applyBorder="1" applyAlignment="1">
      <alignment/>
    </xf>
    <xf numFmtId="171" fontId="4" fillId="0" borderId="52" xfId="54" applyFont="1" applyBorder="1" applyAlignment="1">
      <alignment/>
    </xf>
    <xf numFmtId="171" fontId="4" fillId="0" borderId="65" xfId="54" applyFont="1" applyBorder="1" applyAlignment="1">
      <alignment/>
    </xf>
    <xf numFmtId="171" fontId="4" fillId="0" borderId="64" xfId="54" applyFont="1" applyBorder="1" applyAlignment="1">
      <alignment/>
    </xf>
    <xf numFmtId="0" fontId="4" fillId="33" borderId="22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4" fontId="12" fillId="33" borderId="0" xfId="0" applyNumberFormat="1" applyFont="1" applyFill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center"/>
    </xf>
    <xf numFmtId="17" fontId="4" fillId="39" borderId="11" xfId="0" applyNumberFormat="1" applyFont="1" applyFill="1" applyBorder="1" applyAlignment="1">
      <alignment horizontal="right"/>
    </xf>
    <xf numFmtId="171" fontId="4" fillId="39" borderId="52" xfId="54" applyFont="1" applyFill="1" applyBorder="1" applyAlignment="1">
      <alignment horizontal="left"/>
    </xf>
    <xf numFmtId="4" fontId="4" fillId="39" borderId="0" xfId="0" applyNumberFormat="1" applyFont="1" applyFill="1" applyBorder="1" applyAlignment="1">
      <alignment horizontal="left"/>
    </xf>
    <xf numFmtId="0" fontId="4" fillId="39" borderId="0" xfId="0" applyNumberFormat="1" applyFont="1" applyFill="1" applyAlignment="1">
      <alignment/>
    </xf>
    <xf numFmtId="205" fontId="7" fillId="39" borderId="0" xfId="0" applyNumberFormat="1" applyFont="1" applyFill="1" applyBorder="1" applyAlignment="1">
      <alignment horizontal="right" vertical="center"/>
    </xf>
    <xf numFmtId="4" fontId="5" fillId="39" borderId="0" xfId="0" applyNumberFormat="1" applyFont="1" applyFill="1" applyBorder="1" applyAlignment="1">
      <alignment horizontal="left"/>
    </xf>
    <xf numFmtId="0" fontId="4" fillId="39" borderId="0" xfId="0" applyFont="1" applyFill="1" applyAlignment="1">
      <alignment/>
    </xf>
    <xf numFmtId="4" fontId="5" fillId="39" borderId="10" xfId="0" applyNumberFormat="1" applyFont="1" applyFill="1" applyBorder="1" applyAlignment="1" quotePrefix="1">
      <alignment horizontal="center" vertical="center"/>
    </xf>
    <xf numFmtId="49" fontId="4" fillId="39" borderId="24" xfId="54" applyNumberFormat="1" applyFont="1" applyFill="1" applyBorder="1" applyAlignment="1">
      <alignment horizontal="center" vertical="center"/>
    </xf>
    <xf numFmtId="49" fontId="4" fillId="39" borderId="14" xfId="54" applyNumberFormat="1" applyFont="1" applyFill="1" applyBorder="1" applyAlignment="1">
      <alignment horizontal="center" vertical="center"/>
    </xf>
    <xf numFmtId="49" fontId="4" fillId="39" borderId="25" xfId="54" applyNumberFormat="1" applyFont="1" applyFill="1" applyBorder="1" applyAlignment="1">
      <alignment horizontal="center" vertical="center"/>
    </xf>
    <xf numFmtId="171" fontId="4" fillId="39" borderId="0" xfId="54" applyFont="1" applyFill="1" applyBorder="1" applyAlignment="1">
      <alignment horizontal="center" vertical="center"/>
    </xf>
    <xf numFmtId="201" fontId="4" fillId="39" borderId="11" xfId="0" applyNumberFormat="1" applyFont="1" applyFill="1" applyBorder="1" applyAlignment="1">
      <alignment horizontal="right"/>
    </xf>
    <xf numFmtId="213" fontId="4" fillId="39" borderId="11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center"/>
    </xf>
    <xf numFmtId="171" fontId="4" fillId="39" borderId="11" xfId="54" applyFont="1" applyFill="1" applyBorder="1" applyAlignment="1">
      <alignment horizontal="center" vertical="center"/>
    </xf>
    <xf numFmtId="14" fontId="4" fillId="39" borderId="22" xfId="0" applyNumberFormat="1" applyFont="1" applyFill="1" applyBorder="1" applyAlignment="1">
      <alignment horizontal="center"/>
    </xf>
    <xf numFmtId="14" fontId="5" fillId="39" borderId="23" xfId="0" applyNumberFormat="1" applyFont="1" applyFill="1" applyBorder="1" applyAlignment="1">
      <alignment horizontal="center"/>
    </xf>
    <xf numFmtId="171" fontId="4" fillId="39" borderId="50" xfId="54" applyFont="1" applyFill="1" applyBorder="1" applyAlignment="1">
      <alignment horizontal="right" vertical="center"/>
    </xf>
    <xf numFmtId="4" fontId="5" fillId="39" borderId="0" xfId="0" applyNumberFormat="1" applyFont="1" applyFill="1" applyAlignment="1">
      <alignment horizontal="center" vertical="center"/>
    </xf>
    <xf numFmtId="171" fontId="5" fillId="0" borderId="54" xfId="0" applyNumberFormat="1" applyFont="1" applyBorder="1" applyAlignment="1">
      <alignment/>
    </xf>
    <xf numFmtId="14" fontId="5" fillId="0" borderId="25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0" fontId="24" fillId="33" borderId="25" xfId="0" applyNumberFormat="1" applyFont="1" applyFill="1" applyBorder="1" applyAlignment="1">
      <alignment horizontal="center"/>
    </xf>
    <xf numFmtId="203" fontId="24" fillId="33" borderId="25" xfId="0" applyNumberFormat="1" applyFont="1" applyFill="1" applyBorder="1" applyAlignment="1">
      <alignment horizontal="center" vertical="center"/>
    </xf>
    <xf numFmtId="17" fontId="24" fillId="33" borderId="25" xfId="0" applyNumberFormat="1" applyFont="1" applyFill="1" applyBorder="1" applyAlignment="1">
      <alignment horizontal="center" vertical="center"/>
    </xf>
    <xf numFmtId="203" fontId="24" fillId="33" borderId="14" xfId="0" applyNumberFormat="1" applyFont="1" applyFill="1" applyBorder="1" applyAlignment="1">
      <alignment horizontal="center" vertical="center"/>
    </xf>
    <xf numFmtId="14" fontId="24" fillId="33" borderId="18" xfId="0" applyNumberFormat="1" applyFont="1" applyFill="1" applyBorder="1" applyAlignment="1">
      <alignment horizontal="center"/>
    </xf>
    <xf numFmtId="14" fontId="25" fillId="33" borderId="18" xfId="0" applyNumberFormat="1" applyFont="1" applyFill="1" applyBorder="1" applyAlignment="1">
      <alignment horizontal="center"/>
    </xf>
    <xf numFmtId="0" fontId="24" fillId="33" borderId="20" xfId="0" applyNumberFormat="1" applyFont="1" applyFill="1" applyBorder="1" applyAlignment="1">
      <alignment horizontal="center"/>
    </xf>
    <xf numFmtId="14" fontId="25" fillId="33" borderId="14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 quotePrefix="1">
      <alignment horizontal="center"/>
    </xf>
    <xf numFmtId="0" fontId="4" fillId="33" borderId="23" xfId="0" applyNumberFormat="1" applyFont="1" applyFill="1" applyBorder="1" applyAlignment="1">
      <alignment horizontal="center"/>
    </xf>
    <xf numFmtId="214" fontId="4" fillId="33" borderId="0" xfId="0" applyNumberFormat="1" applyFont="1" applyFill="1" applyBorder="1" applyAlignment="1">
      <alignment horizontal="left" vertical="center"/>
    </xf>
    <xf numFmtId="214" fontId="5" fillId="0" borderId="0" xfId="0" applyNumberFormat="1" applyFont="1" applyAlignment="1">
      <alignment/>
    </xf>
    <xf numFmtId="214" fontId="5" fillId="33" borderId="0" xfId="0" applyNumberFormat="1" applyFont="1" applyFill="1" applyBorder="1" applyAlignment="1">
      <alignment horizontal="left" vertical="center"/>
    </xf>
    <xf numFmtId="214" fontId="0" fillId="33" borderId="0" xfId="0" applyNumberFormat="1" applyFill="1" applyBorder="1" applyAlignment="1">
      <alignment horizontal="left" vertical="center"/>
    </xf>
    <xf numFmtId="214" fontId="4" fillId="33" borderId="0" xfId="0" applyNumberFormat="1" applyFont="1" applyFill="1" applyAlignment="1">
      <alignment/>
    </xf>
    <xf numFmtId="214" fontId="5" fillId="33" borderId="12" xfId="0" applyNumberFormat="1" applyFont="1" applyFill="1" applyBorder="1" applyAlignment="1" quotePrefix="1">
      <alignment horizontal="center" vertical="center"/>
    </xf>
    <xf numFmtId="214" fontId="7" fillId="33" borderId="0" xfId="0" applyNumberFormat="1" applyFont="1" applyFill="1" applyBorder="1" applyAlignment="1">
      <alignment horizontal="center" vertical="center"/>
    </xf>
    <xf numFmtId="214" fontId="4" fillId="33" borderId="16" xfId="0" applyNumberFormat="1" applyFont="1" applyFill="1" applyBorder="1" applyAlignment="1">
      <alignment horizontal="center" vertical="center"/>
    </xf>
    <xf numFmtId="214" fontId="4" fillId="33" borderId="13" xfId="0" applyNumberFormat="1" applyFont="1" applyFill="1" applyBorder="1" applyAlignment="1">
      <alignment horizontal="center" vertical="center"/>
    </xf>
    <xf numFmtId="214" fontId="4" fillId="33" borderId="19" xfId="0" applyNumberFormat="1" applyFont="1" applyFill="1" applyBorder="1" applyAlignment="1">
      <alignment horizontal="center" vertical="center"/>
    </xf>
    <xf numFmtId="214" fontId="4" fillId="33" borderId="11" xfId="0" applyNumberFormat="1" applyFont="1" applyFill="1" applyBorder="1" applyAlignment="1">
      <alignment horizontal="right" vertical="center"/>
    </xf>
    <xf numFmtId="214" fontId="0" fillId="33" borderId="0" xfId="0" applyNumberFormat="1" applyFill="1" applyAlignment="1">
      <alignment horizontal="center" vertical="center"/>
    </xf>
    <xf numFmtId="10" fontId="4" fillId="33" borderId="0" xfId="0" applyNumberFormat="1" applyFont="1" applyFill="1" applyBorder="1" applyAlignment="1">
      <alignment horizontal="center" vertical="center"/>
    </xf>
    <xf numFmtId="10" fontId="4" fillId="33" borderId="24" xfId="0" applyNumberFormat="1" applyFont="1" applyFill="1" applyBorder="1" applyAlignment="1">
      <alignment horizontal="center"/>
    </xf>
    <xf numFmtId="10" fontId="4" fillId="33" borderId="14" xfId="0" applyNumberFormat="1" applyFont="1" applyFill="1" applyBorder="1" applyAlignment="1">
      <alignment horizontal="center"/>
    </xf>
    <xf numFmtId="10" fontId="5" fillId="33" borderId="25" xfId="0" applyNumberFormat="1" applyFont="1" applyFill="1" applyBorder="1" applyAlignment="1">
      <alignment horizontal="center"/>
    </xf>
    <xf numFmtId="10" fontId="4" fillId="33" borderId="0" xfId="0" applyNumberFormat="1" applyFont="1" applyFill="1" applyBorder="1" applyAlignment="1">
      <alignment horizontal="center"/>
    </xf>
    <xf numFmtId="10" fontId="0" fillId="33" borderId="0" xfId="0" applyNumberFormat="1" applyFill="1" applyAlignment="1">
      <alignment horizontal="center" vertical="center"/>
    </xf>
    <xf numFmtId="4" fontId="5" fillId="33" borderId="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/>
    </xf>
    <xf numFmtId="4" fontId="4" fillId="33" borderId="2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4" fontId="5" fillId="33" borderId="25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33" borderId="11" xfId="54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5" fillId="33" borderId="0" xfId="0" applyNumberFormat="1" applyFont="1" applyFill="1" applyBorder="1" applyAlignment="1">
      <alignment horizontal="center" vertical="center"/>
    </xf>
    <xf numFmtId="10" fontId="4" fillId="33" borderId="0" xfId="0" applyNumberFormat="1" applyFont="1" applyFill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49" fontId="4" fillId="33" borderId="11" xfId="54" applyNumberFormat="1" applyFont="1" applyFill="1" applyBorder="1" applyAlignment="1">
      <alignment horizontal="center"/>
    </xf>
    <xf numFmtId="215" fontId="0" fillId="33" borderId="0" xfId="0" applyNumberFormat="1" applyFill="1" applyAlignment="1">
      <alignment horizontal="center" vertical="center"/>
    </xf>
    <xf numFmtId="215" fontId="4" fillId="33" borderId="0" xfId="0" applyNumberFormat="1" applyFont="1" applyFill="1" applyAlignment="1">
      <alignment horizontal="center" vertical="center"/>
    </xf>
    <xf numFmtId="215" fontId="4" fillId="0" borderId="0" xfId="0" applyNumberFormat="1" applyFont="1" applyAlignment="1">
      <alignment/>
    </xf>
    <xf numFmtId="215" fontId="5" fillId="33" borderId="0" xfId="0" applyNumberFormat="1" applyFont="1" applyFill="1" applyAlignment="1">
      <alignment horizontal="center" vertical="center"/>
    </xf>
    <xf numFmtId="215" fontId="5" fillId="33" borderId="10" xfId="0" applyNumberFormat="1" applyFont="1" applyFill="1" applyBorder="1" applyAlignment="1" quotePrefix="1">
      <alignment horizontal="center" vertical="center"/>
    </xf>
    <xf numFmtId="215" fontId="4" fillId="33" borderId="0" xfId="0" applyNumberFormat="1" applyFont="1" applyFill="1" applyAlignment="1">
      <alignment/>
    </xf>
    <xf numFmtId="215" fontId="4" fillId="33" borderId="24" xfId="0" applyNumberFormat="1" applyFont="1" applyFill="1" applyBorder="1" applyAlignment="1">
      <alignment horizontal="center"/>
    </xf>
    <xf numFmtId="215" fontId="4" fillId="33" borderId="14" xfId="0" applyNumberFormat="1" applyFont="1" applyFill="1" applyBorder="1" applyAlignment="1">
      <alignment horizontal="center"/>
    </xf>
    <xf numFmtId="215" fontId="25" fillId="33" borderId="14" xfId="0" applyNumberFormat="1" applyFont="1" applyFill="1" applyBorder="1" applyAlignment="1">
      <alignment horizontal="center"/>
    </xf>
    <xf numFmtId="215" fontId="4" fillId="33" borderId="25" xfId="0" applyNumberFormat="1" applyFont="1" applyFill="1" applyBorder="1" applyAlignment="1">
      <alignment horizontal="center"/>
    </xf>
    <xf numFmtId="215" fontId="0" fillId="39" borderId="0" xfId="0" applyNumberFormat="1" applyFill="1" applyBorder="1" applyAlignment="1">
      <alignment horizontal="center" vertical="center"/>
    </xf>
    <xf numFmtId="215" fontId="4" fillId="33" borderId="11" xfId="0" applyNumberFormat="1" applyFont="1" applyFill="1" applyBorder="1" applyAlignment="1">
      <alignment/>
    </xf>
    <xf numFmtId="214" fontId="5" fillId="33" borderId="0" xfId="0" applyNumberFormat="1" applyFont="1" applyFill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71" fontId="4" fillId="39" borderId="11" xfId="0" applyNumberFormat="1" applyFont="1" applyFill="1" applyBorder="1" applyAlignment="1">
      <alignment/>
    </xf>
    <xf numFmtId="14" fontId="4" fillId="0" borderId="11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center"/>
    </xf>
    <xf numFmtId="4" fontId="71" fillId="39" borderId="0" xfId="0" applyNumberFormat="1" applyFont="1" applyFill="1" applyBorder="1" applyAlignment="1">
      <alignment horizontal="left"/>
    </xf>
    <xf numFmtId="4" fontId="71" fillId="39" borderId="0" xfId="0" applyNumberFormat="1" applyFont="1" applyFill="1" applyBorder="1" applyAlignment="1">
      <alignment horizontal="left" vertical="center"/>
    </xf>
    <xf numFmtId="205" fontId="10" fillId="0" borderId="0" xfId="44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Alignment="1">
      <alignment/>
    </xf>
    <xf numFmtId="0" fontId="5" fillId="39" borderId="0" xfId="0" applyFont="1" applyFill="1" applyAlignment="1">
      <alignment/>
    </xf>
    <xf numFmtId="4" fontId="72" fillId="39" borderId="0" xfId="0" applyNumberFormat="1" applyFont="1" applyFill="1" applyBorder="1" applyAlignment="1">
      <alignment horizontal="left"/>
    </xf>
    <xf numFmtId="4" fontId="72" fillId="39" borderId="0" xfId="0" applyNumberFormat="1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/>
    </xf>
    <xf numFmtId="16" fontId="4" fillId="0" borderId="25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Atualizaçã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7">
      <selection activeCell="J48" sqref="J48"/>
    </sheetView>
  </sheetViews>
  <sheetFormatPr defaultColWidth="9.140625" defaultRowHeight="12.75"/>
  <cols>
    <col min="1" max="1" width="6.8515625" style="116" customWidth="1"/>
    <col min="2" max="12" width="9.140625" style="116" customWidth="1"/>
  </cols>
  <sheetData>
    <row r="1" spans="1:12" ht="21">
      <c r="A1" s="101" t="s">
        <v>34</v>
      </c>
      <c r="B1" s="102"/>
      <c r="C1" s="102"/>
      <c r="D1" s="102"/>
      <c r="E1" s="102"/>
      <c r="F1" s="102"/>
      <c r="G1" s="102"/>
      <c r="H1" s="103"/>
      <c r="I1" s="103"/>
      <c r="J1" s="104"/>
      <c r="K1" s="104"/>
      <c r="L1" s="105"/>
    </row>
    <row r="2" spans="1:12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08"/>
      <c r="L2" s="109"/>
    </row>
    <row r="3" spans="1:12" ht="15.75">
      <c r="A3" s="110" t="s">
        <v>35</v>
      </c>
      <c r="B3" s="111"/>
      <c r="C3" s="111"/>
      <c r="D3" s="111"/>
      <c r="E3" s="111"/>
      <c r="F3" s="111"/>
      <c r="G3" s="111"/>
      <c r="H3" s="111"/>
      <c r="I3" s="111"/>
      <c r="J3" s="108"/>
      <c r="K3" s="108"/>
      <c r="L3" s="109"/>
    </row>
    <row r="4" spans="1:12" ht="15.75">
      <c r="A4" s="110" t="s">
        <v>151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9"/>
    </row>
    <row r="5" spans="1:12" ht="21">
      <c r="A5" s="112" t="s">
        <v>152</v>
      </c>
      <c r="B5" s="113"/>
      <c r="C5" s="113"/>
      <c r="D5" s="113"/>
      <c r="E5" s="113"/>
      <c r="F5" s="113"/>
      <c r="G5" s="113"/>
      <c r="H5" s="113"/>
      <c r="I5" s="113"/>
      <c r="J5" s="114"/>
      <c r="K5" s="114"/>
      <c r="L5" s="115"/>
    </row>
    <row r="7" spans="1:12" ht="12.75">
      <c r="A7" s="117"/>
      <c r="B7" s="117">
        <v>1971</v>
      </c>
      <c r="C7" s="117">
        <v>1972</v>
      </c>
      <c r="D7" s="117">
        <v>1973</v>
      </c>
      <c r="E7" s="117">
        <v>1974</v>
      </c>
      <c r="F7" s="117">
        <v>1975</v>
      </c>
      <c r="G7" s="117">
        <v>1976</v>
      </c>
      <c r="H7" s="117">
        <v>1977</v>
      </c>
      <c r="I7" s="117">
        <v>1978</v>
      </c>
      <c r="J7" s="117">
        <v>1979</v>
      </c>
      <c r="K7" s="117">
        <v>1980</v>
      </c>
      <c r="L7" s="117">
        <v>1981</v>
      </c>
    </row>
    <row r="8" spans="1:12" ht="15.75">
      <c r="A8" s="118" t="s">
        <v>36</v>
      </c>
      <c r="B8" s="119">
        <v>0.412240271</v>
      </c>
      <c r="C8" s="119">
        <v>0.338467334</v>
      </c>
      <c r="D8" s="119">
        <v>0.293839147</v>
      </c>
      <c r="E8" s="119">
        <v>0.258290451</v>
      </c>
      <c r="F8" s="119">
        <v>0.195009426</v>
      </c>
      <c r="G8" s="119">
        <v>0.156108915</v>
      </c>
      <c r="H8" s="119">
        <v>0.113328963</v>
      </c>
      <c r="I8" s="119">
        <v>0.087338802</v>
      </c>
      <c r="J8" s="119">
        <v>0.063690563</v>
      </c>
      <c r="K8" s="119">
        <v>0.042664949</v>
      </c>
      <c r="L8" s="119">
        <v>0.028183485</v>
      </c>
    </row>
    <row r="9" spans="1:12" ht="15.75">
      <c r="A9" s="118" t="s">
        <v>37</v>
      </c>
      <c r="B9" s="119">
        <v>0.412240271</v>
      </c>
      <c r="C9" s="119">
        <v>0.338467334</v>
      </c>
      <c r="D9" s="119">
        <v>0.293839147</v>
      </c>
      <c r="E9" s="119">
        <v>0.258290451</v>
      </c>
      <c r="F9" s="119">
        <v>0.195009426</v>
      </c>
      <c r="G9" s="119">
        <v>0.156108915</v>
      </c>
      <c r="H9" s="119">
        <v>0.113328963</v>
      </c>
      <c r="I9" s="119">
        <v>0.087338802</v>
      </c>
      <c r="J9" s="119">
        <v>0.063690563</v>
      </c>
      <c r="K9" s="119">
        <v>0.042664949</v>
      </c>
      <c r="L9" s="119">
        <v>0.028183485</v>
      </c>
    </row>
    <row r="10" spans="1:12" ht="15.75">
      <c r="A10" s="118" t="s">
        <v>38</v>
      </c>
      <c r="B10" s="119">
        <v>0.412240271</v>
      </c>
      <c r="C10" s="119">
        <v>0.338467334</v>
      </c>
      <c r="D10" s="119">
        <v>0.293839147</v>
      </c>
      <c r="E10" s="119">
        <v>0.258290451</v>
      </c>
      <c r="F10" s="119">
        <v>0.195009426</v>
      </c>
      <c r="G10" s="119">
        <v>0.156108915</v>
      </c>
      <c r="H10" s="119">
        <v>0.113328963</v>
      </c>
      <c r="I10" s="119">
        <v>0.087338802</v>
      </c>
      <c r="J10" s="119">
        <v>0.063690563</v>
      </c>
      <c r="K10" s="119">
        <v>0.042664949</v>
      </c>
      <c r="L10" s="119">
        <v>0.028183485</v>
      </c>
    </row>
    <row r="11" spans="1:12" ht="15.75">
      <c r="A11" s="118" t="s">
        <v>39</v>
      </c>
      <c r="B11" s="119">
        <v>0.395562824</v>
      </c>
      <c r="C11" s="119">
        <v>0.326343718</v>
      </c>
      <c r="D11" s="119">
        <v>0.284521083</v>
      </c>
      <c r="E11" s="119">
        <v>0.248695581</v>
      </c>
      <c r="F11" s="119">
        <v>0.185466276</v>
      </c>
      <c r="G11" s="119">
        <v>0.146329647</v>
      </c>
      <c r="H11" s="119">
        <v>0.106824582</v>
      </c>
      <c r="I11" s="119">
        <v>0.081492141</v>
      </c>
      <c r="J11" s="119">
        <v>0.059386113</v>
      </c>
      <c r="K11" s="119">
        <v>0.038075534</v>
      </c>
      <c r="L11" s="119">
        <v>0.023709508</v>
      </c>
    </row>
    <row r="12" spans="1:12" ht="15.75">
      <c r="A12" s="118" t="s">
        <v>40</v>
      </c>
      <c r="B12" s="119">
        <v>0.395562824</v>
      </c>
      <c r="C12" s="119">
        <v>0.326343718</v>
      </c>
      <c r="D12" s="119">
        <v>0.284521083</v>
      </c>
      <c r="E12" s="119">
        <v>0.248695581</v>
      </c>
      <c r="F12" s="119">
        <v>0.185466276</v>
      </c>
      <c r="G12" s="119">
        <v>0.146329647</v>
      </c>
      <c r="H12" s="119">
        <v>0.106824582</v>
      </c>
      <c r="I12" s="119">
        <v>0.081492141</v>
      </c>
      <c r="J12" s="119">
        <v>0.059386113</v>
      </c>
      <c r="K12" s="119">
        <v>0.038075534</v>
      </c>
      <c r="L12" s="119">
        <v>0.023709508</v>
      </c>
    </row>
    <row r="13" spans="1:12" ht="15.75">
      <c r="A13" s="118" t="s">
        <v>41</v>
      </c>
      <c r="B13" s="119">
        <v>0.395562824</v>
      </c>
      <c r="C13" s="119">
        <v>0.326343718</v>
      </c>
      <c r="D13" s="119">
        <v>0.284521083</v>
      </c>
      <c r="E13" s="119">
        <v>0.248695581</v>
      </c>
      <c r="F13" s="119">
        <v>0.185466276</v>
      </c>
      <c r="G13" s="119">
        <v>0.146329647</v>
      </c>
      <c r="H13" s="119">
        <v>0.106824582</v>
      </c>
      <c r="I13" s="119">
        <v>0.081492141</v>
      </c>
      <c r="J13" s="119">
        <v>0.059386113</v>
      </c>
      <c r="K13" s="119">
        <v>0.038075534</v>
      </c>
      <c r="L13" s="119">
        <v>0.023709508</v>
      </c>
    </row>
    <row r="14" spans="1:12" ht="15.75">
      <c r="A14" s="118" t="s">
        <v>42</v>
      </c>
      <c r="B14" s="119">
        <v>0.378029084</v>
      </c>
      <c r="C14" s="119">
        <v>0.311138571</v>
      </c>
      <c r="D14" s="119">
        <v>0.27470948</v>
      </c>
      <c r="E14" s="119">
        <v>0.231858836</v>
      </c>
      <c r="F14" s="119">
        <v>0.174530347</v>
      </c>
      <c r="G14" s="119">
        <v>0.134630819</v>
      </c>
      <c r="H14" s="119">
        <v>0.097353139</v>
      </c>
      <c r="I14" s="119">
        <v>0.074591367</v>
      </c>
      <c r="J14" s="119">
        <v>0.053356746</v>
      </c>
      <c r="K14" s="119">
        <v>0.0344086</v>
      </c>
      <c r="L14" s="119">
        <v>0.01990696</v>
      </c>
    </row>
    <row r="15" spans="1:12" ht="15.75">
      <c r="A15" s="118" t="s">
        <v>43</v>
      </c>
      <c r="B15" s="119">
        <v>0.378029084</v>
      </c>
      <c r="C15" s="119">
        <v>0.311138571</v>
      </c>
      <c r="D15" s="119">
        <v>0.27470948</v>
      </c>
      <c r="E15" s="119">
        <v>0.231858836</v>
      </c>
      <c r="F15" s="119">
        <v>0.174530347</v>
      </c>
      <c r="G15" s="119">
        <v>0.134630819</v>
      </c>
      <c r="H15" s="119">
        <v>0.097353139</v>
      </c>
      <c r="I15" s="119">
        <v>0.074591367</v>
      </c>
      <c r="J15" s="119">
        <v>0.053356746</v>
      </c>
      <c r="K15" s="119">
        <v>0.0344086</v>
      </c>
      <c r="L15" s="119">
        <v>0.01990696</v>
      </c>
    </row>
    <row r="16" spans="1:12" ht="15.75">
      <c r="A16" s="118" t="s">
        <v>44</v>
      </c>
      <c r="B16" s="119">
        <v>0.378029084</v>
      </c>
      <c r="C16" s="119">
        <v>0.311138571</v>
      </c>
      <c r="D16" s="119">
        <v>0.27470948</v>
      </c>
      <c r="E16" s="119">
        <v>0.231858836</v>
      </c>
      <c r="F16" s="119">
        <v>0.174530347</v>
      </c>
      <c r="G16" s="119">
        <v>0.134630819</v>
      </c>
      <c r="H16" s="119">
        <v>0.097353139</v>
      </c>
      <c r="I16" s="119">
        <v>0.074591367</v>
      </c>
      <c r="J16" s="119">
        <v>0.053356746</v>
      </c>
      <c r="K16" s="119">
        <v>0.0344086</v>
      </c>
      <c r="L16" s="119">
        <v>0.01990696</v>
      </c>
    </row>
    <row r="17" spans="1:12" ht="15.75">
      <c r="A17" s="118" t="s">
        <v>45</v>
      </c>
      <c r="B17" s="119">
        <v>0.35524944</v>
      </c>
      <c r="C17" s="119">
        <v>0.302022204</v>
      </c>
      <c r="D17" s="119">
        <v>0.267397466</v>
      </c>
      <c r="E17" s="119">
        <v>0.204313989</v>
      </c>
      <c r="F17" s="119">
        <v>0.165598622</v>
      </c>
      <c r="G17" s="119">
        <v>0.123651582</v>
      </c>
      <c r="H17" s="119">
        <v>0.091633745</v>
      </c>
      <c r="I17" s="119">
        <v>0.068627809</v>
      </c>
      <c r="J17" s="119">
        <v>0.048538519</v>
      </c>
      <c r="K17" s="119">
        <v>0.031366813</v>
      </c>
      <c r="L17" s="119">
        <v>0.016793392</v>
      </c>
    </row>
    <row r="18" spans="1:12" ht="15.75">
      <c r="A18" s="118" t="s">
        <v>46</v>
      </c>
      <c r="B18" s="119">
        <v>0.35524944</v>
      </c>
      <c r="C18" s="119">
        <v>0.302022204</v>
      </c>
      <c r="D18" s="119">
        <v>0.267397466</v>
      </c>
      <c r="E18" s="119">
        <v>0.204313989</v>
      </c>
      <c r="F18" s="119">
        <v>0.165598622</v>
      </c>
      <c r="G18" s="119">
        <v>0.123651582</v>
      </c>
      <c r="H18" s="119">
        <v>0.091633745</v>
      </c>
      <c r="I18" s="119">
        <v>0.068627809</v>
      </c>
      <c r="J18" s="119">
        <v>0.048538519</v>
      </c>
      <c r="K18" s="119">
        <v>0.031366813</v>
      </c>
      <c r="L18" s="119">
        <v>0.016793392</v>
      </c>
    </row>
    <row r="19" spans="1:12" ht="15.75">
      <c r="A19" s="118" t="s">
        <v>47</v>
      </c>
      <c r="B19" s="119">
        <v>0.35524944</v>
      </c>
      <c r="C19" s="119">
        <v>0.302022204</v>
      </c>
      <c r="D19" s="119">
        <v>0.267397466</v>
      </c>
      <c r="E19" s="119">
        <v>0.204313989</v>
      </c>
      <c r="F19" s="119">
        <v>0.165598622</v>
      </c>
      <c r="G19" s="119">
        <v>0.123651582</v>
      </c>
      <c r="H19" s="119">
        <v>0.091633745</v>
      </c>
      <c r="I19" s="119">
        <v>0.068627809</v>
      </c>
      <c r="J19" s="119">
        <v>0.048538519</v>
      </c>
      <c r="K19" s="119">
        <v>0.031366813</v>
      </c>
      <c r="L19" s="119">
        <v>0.016793392</v>
      </c>
    </row>
    <row r="20" spans="1:12" ht="12.75">
      <c r="A20" s="117"/>
      <c r="B20" s="117">
        <v>1982</v>
      </c>
      <c r="C20" s="117">
        <v>1983</v>
      </c>
      <c r="D20" s="117">
        <v>1984</v>
      </c>
      <c r="E20" s="117">
        <v>1985</v>
      </c>
      <c r="F20" s="117">
        <v>1986</v>
      </c>
      <c r="G20" s="117">
        <v>1987</v>
      </c>
      <c r="H20" s="117">
        <v>1988</v>
      </c>
      <c r="I20" s="117">
        <v>1989</v>
      </c>
      <c r="J20" s="117">
        <v>1990</v>
      </c>
      <c r="K20" s="117">
        <v>1991</v>
      </c>
      <c r="L20" s="117">
        <v>1992</v>
      </c>
    </row>
    <row r="21" spans="1:12" ht="15.75">
      <c r="A21" s="118" t="s">
        <v>36</v>
      </c>
      <c r="B21" s="119">
        <v>0.014315128</v>
      </c>
      <c r="C21" s="119">
        <v>0.007150123</v>
      </c>
      <c r="D21" s="119">
        <v>0.002758222</v>
      </c>
      <c r="E21" s="119">
        <v>0.000851892</v>
      </c>
      <c r="F21" s="119">
        <v>0.000260007</v>
      </c>
      <c r="G21" s="119">
        <v>0.16015109</v>
      </c>
      <c r="H21" s="119">
        <v>0.034872749</v>
      </c>
      <c r="I21" s="119">
        <v>0.003373843</v>
      </c>
      <c r="J21" s="119">
        <v>0.188732948</v>
      </c>
      <c r="K21" s="119">
        <v>0.015012391</v>
      </c>
      <c r="L21" s="119">
        <v>0.002867412</v>
      </c>
    </row>
    <row r="22" spans="1:12" ht="15.75">
      <c r="A22" s="118" t="s">
        <v>37</v>
      </c>
      <c r="B22" s="119">
        <v>0.014315128</v>
      </c>
      <c r="C22" s="119">
        <v>0.007150123</v>
      </c>
      <c r="D22" s="119">
        <v>0.002758222</v>
      </c>
      <c r="E22" s="119">
        <v>0.000851892</v>
      </c>
      <c r="F22" s="119">
        <v>0.0002237</v>
      </c>
      <c r="G22" s="119">
        <v>0.13710392</v>
      </c>
      <c r="H22" s="119">
        <v>0.029931122</v>
      </c>
      <c r="I22" s="119">
        <v>2.757309071</v>
      </c>
      <c r="J22" s="119">
        <v>0.120897411</v>
      </c>
      <c r="K22" s="119">
        <v>0.012488076</v>
      </c>
      <c r="L22" s="119">
        <v>0.002285155</v>
      </c>
    </row>
    <row r="23" spans="1:12" ht="15.75">
      <c r="A23" s="118" t="s">
        <v>38</v>
      </c>
      <c r="B23" s="119">
        <v>0.014315128</v>
      </c>
      <c r="C23" s="119">
        <v>0.007150123</v>
      </c>
      <c r="D23" s="119">
        <v>0.002758222</v>
      </c>
      <c r="E23" s="119">
        <v>0.000851892</v>
      </c>
      <c r="F23" s="119">
        <v>0.195610713</v>
      </c>
      <c r="G23" s="119">
        <v>0.114616219</v>
      </c>
      <c r="H23" s="119">
        <v>0.025373959</v>
      </c>
      <c r="I23" s="119">
        <v>2.329792191</v>
      </c>
      <c r="J23" s="119">
        <v>0.069971878</v>
      </c>
      <c r="K23" s="119">
        <v>0.011671099</v>
      </c>
      <c r="L23" s="119">
        <v>0.001819246</v>
      </c>
    </row>
    <row r="24" spans="1:12" ht="15.75">
      <c r="A24" s="118" t="s">
        <v>39</v>
      </c>
      <c r="B24" s="119">
        <v>0.012365945</v>
      </c>
      <c r="C24" s="119">
        <v>0.00579985</v>
      </c>
      <c r="D24" s="119">
        <v>0.002033548</v>
      </c>
      <c r="E24" s="119">
        <v>0.000609173</v>
      </c>
      <c r="F24" s="119">
        <v>0.195826121</v>
      </c>
      <c r="G24" s="119">
        <v>0.10009276</v>
      </c>
      <c r="H24" s="119">
        <v>0.021872217</v>
      </c>
      <c r="I24" s="119">
        <v>1.944572416</v>
      </c>
      <c r="J24" s="119">
        <v>0.037962174</v>
      </c>
      <c r="K24" s="119">
        <v>0.010756773</v>
      </c>
      <c r="L24" s="119">
        <v>0.001463946</v>
      </c>
    </row>
    <row r="25" spans="1:12" ht="15.75">
      <c r="A25" s="118" t="s">
        <v>40</v>
      </c>
      <c r="B25" s="119">
        <v>0.012365945</v>
      </c>
      <c r="C25" s="119">
        <v>0.00579985</v>
      </c>
      <c r="D25" s="119">
        <v>0.002033548</v>
      </c>
      <c r="E25" s="119">
        <v>0.000609173</v>
      </c>
      <c r="F25" s="119">
        <v>0.1943105</v>
      </c>
      <c r="G25" s="119">
        <v>0.082748643</v>
      </c>
      <c r="H25" s="119">
        <v>0.018336868</v>
      </c>
      <c r="I25" s="119">
        <v>1.752498556</v>
      </c>
      <c r="J25" s="119">
        <v>0.037962174</v>
      </c>
      <c r="K25" s="119">
        <v>0.009874941</v>
      </c>
      <c r="L25" s="119">
        <v>0.001209073</v>
      </c>
    </row>
    <row r="26" spans="1:12" ht="15.75">
      <c r="A26" s="118" t="s">
        <v>41</v>
      </c>
      <c r="B26" s="119">
        <v>0.012365945</v>
      </c>
      <c r="C26" s="119">
        <v>0.00579985</v>
      </c>
      <c r="D26" s="119">
        <v>0.002033548</v>
      </c>
      <c r="E26" s="119">
        <v>0.000609173</v>
      </c>
      <c r="F26" s="119">
        <v>0.191627712</v>
      </c>
      <c r="G26" s="119">
        <v>0.067035518</v>
      </c>
      <c r="H26" s="119">
        <v>0.015568746</v>
      </c>
      <c r="I26" s="119">
        <v>1.594049993</v>
      </c>
      <c r="J26" s="119">
        <v>0.036024078</v>
      </c>
      <c r="K26" s="119">
        <v>0.00906041</v>
      </c>
      <c r="L26" s="119">
        <v>0.001009159</v>
      </c>
    </row>
    <row r="27" spans="1:12" ht="15.75">
      <c r="A27" s="118" t="s">
        <v>42</v>
      </c>
      <c r="B27" s="119">
        <v>0.010531008</v>
      </c>
      <c r="C27" s="119">
        <v>0.004570332</v>
      </c>
      <c r="D27" s="119">
        <v>0.001570276</v>
      </c>
      <c r="E27" s="119">
        <v>0.000453407</v>
      </c>
      <c r="F27" s="119">
        <v>0.18922456</v>
      </c>
      <c r="G27" s="119">
        <v>0.056800134</v>
      </c>
      <c r="H27" s="119">
        <v>0.013024969</v>
      </c>
      <c r="I27" s="119">
        <v>1.276976688</v>
      </c>
      <c r="J27" s="119">
        <v>0.032865685</v>
      </c>
      <c r="K27" s="119">
        <v>0.00828191</v>
      </c>
      <c r="L27" s="119">
        <v>0.000833671</v>
      </c>
    </row>
    <row r="28" spans="1:12" ht="15.75">
      <c r="A28" s="118" t="s">
        <v>43</v>
      </c>
      <c r="B28" s="119">
        <v>0.010531008</v>
      </c>
      <c r="C28" s="119">
        <v>0.004570332</v>
      </c>
      <c r="D28" s="119">
        <v>0.001570276</v>
      </c>
      <c r="E28" s="119">
        <v>0.000453407</v>
      </c>
      <c r="F28" s="119">
        <v>0.186999269</v>
      </c>
      <c r="G28" s="119">
        <v>0.055119004</v>
      </c>
      <c r="H28" s="119">
        <v>0.01050062</v>
      </c>
      <c r="I28" s="119">
        <v>0.991749527</v>
      </c>
      <c r="J28" s="119">
        <v>0.029664849</v>
      </c>
      <c r="K28" s="119">
        <v>0.007525589</v>
      </c>
      <c r="L28" s="119">
        <v>0.000674001</v>
      </c>
    </row>
    <row r="29" spans="1:12" ht="15.75">
      <c r="A29" s="118" t="s">
        <v>44</v>
      </c>
      <c r="B29" s="119">
        <v>0.010531008</v>
      </c>
      <c r="C29" s="119">
        <v>0.004570332</v>
      </c>
      <c r="D29" s="119">
        <v>0.001570276</v>
      </c>
      <c r="E29" s="119">
        <v>0.000453407</v>
      </c>
      <c r="F29" s="119">
        <v>0.183909588</v>
      </c>
      <c r="G29" s="119">
        <v>0.051823058</v>
      </c>
      <c r="H29" s="119">
        <v>0.008702652</v>
      </c>
      <c r="I29" s="119">
        <v>0.766777119</v>
      </c>
      <c r="J29" s="119">
        <v>0.026826594</v>
      </c>
      <c r="K29" s="119">
        <v>0.006722277</v>
      </c>
      <c r="L29" s="119">
        <v>0.00054699</v>
      </c>
    </row>
    <row r="30" spans="1:12" ht="15.75">
      <c r="A30" s="118" t="s">
        <v>45</v>
      </c>
      <c r="B30" s="119">
        <v>0.008677538</v>
      </c>
      <c r="C30" s="119">
        <v>0.003529209</v>
      </c>
      <c r="D30" s="119">
        <v>0.001164885</v>
      </c>
      <c r="E30" s="119">
        <v>0.000356996</v>
      </c>
      <c r="F30" s="119">
        <v>0.18079983</v>
      </c>
      <c r="G30" s="119">
        <v>0.049037716</v>
      </c>
      <c r="H30" s="119">
        <v>0.007017702</v>
      </c>
      <c r="I30" s="119">
        <v>0.564014062</v>
      </c>
      <c r="J30" s="119">
        <v>0.023771905</v>
      </c>
      <c r="K30" s="119">
        <v>0.00575636</v>
      </c>
      <c r="L30" s="119">
        <v>0.000436265</v>
      </c>
    </row>
    <row r="31" spans="1:12" ht="15.75">
      <c r="A31" s="118" t="s">
        <v>46</v>
      </c>
      <c r="B31" s="119">
        <v>0.008677538</v>
      </c>
      <c r="C31" s="119">
        <v>0.003529209</v>
      </c>
      <c r="D31" s="119">
        <v>0.001164885</v>
      </c>
      <c r="E31" s="119">
        <v>0.000356996</v>
      </c>
      <c r="F31" s="119">
        <v>0.177446099</v>
      </c>
      <c r="G31" s="119">
        <v>0.044914559</v>
      </c>
      <c r="H31" s="119">
        <v>0.005514894</v>
      </c>
      <c r="I31" s="119">
        <v>0.40983437</v>
      </c>
      <c r="J31" s="119">
        <v>0.02090573</v>
      </c>
      <c r="K31" s="119">
        <v>0.004806178</v>
      </c>
      <c r="L31" s="119">
        <v>0.000348817</v>
      </c>
    </row>
    <row r="32" spans="1:12" ht="15.75">
      <c r="A32" s="118" t="s">
        <v>47</v>
      </c>
      <c r="B32" s="119">
        <v>0.008677538</v>
      </c>
      <c r="C32" s="119">
        <v>0.003529209</v>
      </c>
      <c r="D32" s="119">
        <v>0.001164885</v>
      </c>
      <c r="E32" s="119">
        <v>0.000356996</v>
      </c>
      <c r="F32" s="119">
        <v>0.171794074</v>
      </c>
      <c r="G32" s="119">
        <v>0.039803757</v>
      </c>
      <c r="H32" s="119">
        <v>0.004345173</v>
      </c>
      <c r="I32" s="119">
        <v>0.289799442</v>
      </c>
      <c r="J32" s="119">
        <v>0.017923294</v>
      </c>
      <c r="K32" s="119">
        <v>0.003682331</v>
      </c>
      <c r="L32" s="119">
        <v>0.000282924</v>
      </c>
    </row>
    <row r="33" spans="1:12" ht="12.75">
      <c r="A33" s="117"/>
      <c r="B33" s="117">
        <v>1993</v>
      </c>
      <c r="C33" s="117">
        <v>1994</v>
      </c>
      <c r="D33" s="117">
        <v>1995</v>
      </c>
      <c r="E33" s="117">
        <v>1996</v>
      </c>
      <c r="F33" s="117">
        <v>1997</v>
      </c>
      <c r="G33" s="117">
        <v>1998</v>
      </c>
      <c r="H33" s="117">
        <v>1999</v>
      </c>
      <c r="I33" s="117">
        <v>2000</v>
      </c>
      <c r="J33" s="117">
        <v>2001</v>
      </c>
      <c r="K33" s="117">
        <v>2002</v>
      </c>
      <c r="L33" s="117">
        <v>2003</v>
      </c>
    </row>
    <row r="34" spans="1:12" ht="15.75">
      <c r="A34" s="118" t="s">
        <v>36</v>
      </c>
      <c r="B34" s="119">
        <v>0.000228257</v>
      </c>
      <c r="C34" s="119">
        <v>0.00886523</v>
      </c>
      <c r="D34" s="119">
        <v>2.319372958</v>
      </c>
      <c r="E34" s="119">
        <v>1.762138349</v>
      </c>
      <c r="F34" s="119">
        <v>1.60800921</v>
      </c>
      <c r="G34" s="119">
        <v>1.464689509</v>
      </c>
      <c r="H34" s="119">
        <v>1.358787536</v>
      </c>
      <c r="I34" s="119">
        <v>1.285153804</v>
      </c>
      <c r="J34" s="119">
        <v>1.258766167</v>
      </c>
      <c r="K34" s="119">
        <v>1.230642832</v>
      </c>
      <c r="L34" s="119">
        <v>1.197093794</v>
      </c>
    </row>
    <row r="35" spans="1:12" ht="15.75">
      <c r="A35" s="118" t="s">
        <v>37</v>
      </c>
      <c r="B35" s="119">
        <v>0.00018007</v>
      </c>
      <c r="C35" s="119">
        <v>0.006267838</v>
      </c>
      <c r="D35" s="119">
        <v>2.271639008</v>
      </c>
      <c r="E35" s="119">
        <v>1.740338865</v>
      </c>
      <c r="F35" s="119">
        <v>1.596133974</v>
      </c>
      <c r="G35" s="119">
        <v>1.448095779</v>
      </c>
      <c r="H35" s="119">
        <v>1.351808151</v>
      </c>
      <c r="I35" s="119">
        <v>1.282397931</v>
      </c>
      <c r="J35" s="119">
        <v>1.257045272</v>
      </c>
      <c r="K35" s="119">
        <v>1.227462476</v>
      </c>
      <c r="L35" s="119">
        <v>1.191282717</v>
      </c>
    </row>
    <row r="36" spans="1:12" ht="15.75">
      <c r="A36" s="118" t="s">
        <v>38</v>
      </c>
      <c r="B36" s="119">
        <v>0.00014246</v>
      </c>
      <c r="C36" s="119">
        <v>0.004481508</v>
      </c>
      <c r="D36" s="119">
        <v>2.230309149</v>
      </c>
      <c r="E36" s="119">
        <v>1.723747792</v>
      </c>
      <c r="F36" s="119">
        <v>1.585643324</v>
      </c>
      <c r="G36" s="119">
        <v>1.441664514</v>
      </c>
      <c r="H36" s="119">
        <v>1.340683162</v>
      </c>
      <c r="I36" s="119">
        <v>1.279419442</v>
      </c>
      <c r="J36" s="119">
        <v>1.25658285</v>
      </c>
      <c r="K36" s="119">
        <v>1.226026799</v>
      </c>
      <c r="L36" s="119">
        <v>1.186399497</v>
      </c>
    </row>
    <row r="37" spans="1:12" ht="15.75">
      <c r="A37" s="118" t="s">
        <v>39</v>
      </c>
      <c r="B37" s="119">
        <v>0.000113235</v>
      </c>
      <c r="C37" s="119">
        <v>0.003159329</v>
      </c>
      <c r="D37" s="119">
        <v>2.180169608</v>
      </c>
      <c r="E37" s="119">
        <v>1.709831474</v>
      </c>
      <c r="F37" s="119">
        <v>1.575691291</v>
      </c>
      <c r="G37" s="119">
        <v>1.428812347</v>
      </c>
      <c r="H37" s="119">
        <v>1.32529123</v>
      </c>
      <c r="I37" s="119">
        <v>1.276557401</v>
      </c>
      <c r="J37" s="119">
        <v>1.254420229</v>
      </c>
      <c r="K37" s="119">
        <v>1.223875226</v>
      </c>
      <c r="L37" s="119">
        <v>1.181929439</v>
      </c>
    </row>
    <row r="38" spans="1:12" ht="15.75">
      <c r="A38" s="118" t="s">
        <v>40</v>
      </c>
      <c r="B38" s="119">
        <v>8.8313E-05</v>
      </c>
      <c r="C38" s="119">
        <v>0.002164369</v>
      </c>
      <c r="D38" s="119">
        <v>2.107122009</v>
      </c>
      <c r="E38" s="119">
        <v>1.698625641</v>
      </c>
      <c r="F38" s="119">
        <v>1.565965082</v>
      </c>
      <c r="G38" s="119">
        <v>1.422100035</v>
      </c>
      <c r="H38" s="119">
        <v>1.317266443</v>
      </c>
      <c r="I38" s="119">
        <v>1.274898757</v>
      </c>
      <c r="J38" s="119">
        <v>1.252483889</v>
      </c>
      <c r="K38" s="119">
        <v>1.220997336</v>
      </c>
      <c r="L38" s="119">
        <v>1.177004851</v>
      </c>
    </row>
    <row r="39" spans="1:12" ht="15.75">
      <c r="A39" s="118" t="s">
        <v>41</v>
      </c>
      <c r="B39" s="119">
        <v>6.863E-05</v>
      </c>
      <c r="C39" s="119">
        <v>0.00147799</v>
      </c>
      <c r="D39" s="119">
        <v>2.040853457</v>
      </c>
      <c r="E39" s="119">
        <v>1.688682677</v>
      </c>
      <c r="F39" s="119">
        <v>1.556077764</v>
      </c>
      <c r="G39" s="119">
        <v>1.415668652</v>
      </c>
      <c r="H39" s="119">
        <v>1.309721139</v>
      </c>
      <c r="I39" s="119">
        <v>1.271729607</v>
      </c>
      <c r="J39" s="119">
        <v>1.250199774</v>
      </c>
      <c r="K39" s="119">
        <v>1.218436183</v>
      </c>
      <c r="L39" s="119">
        <v>1.171557111</v>
      </c>
    </row>
    <row r="40" spans="1:12" ht="15.75">
      <c r="A40" s="118" t="s">
        <v>42</v>
      </c>
      <c r="B40" s="119">
        <v>5.276E-05</v>
      </c>
      <c r="C40" s="119">
        <v>2.767294112</v>
      </c>
      <c r="D40" s="119">
        <v>1.983600787</v>
      </c>
      <c r="E40" s="119">
        <v>1.678445836</v>
      </c>
      <c r="F40" s="119">
        <v>1.545974818</v>
      </c>
      <c r="G40" s="119">
        <v>1.408747476</v>
      </c>
      <c r="H40" s="119">
        <v>1.305663138</v>
      </c>
      <c r="I40" s="119">
        <v>1.269013917</v>
      </c>
      <c r="J40" s="119">
        <v>1.248379637</v>
      </c>
      <c r="K40" s="119">
        <v>1.216511661</v>
      </c>
      <c r="L40" s="119">
        <v>1.166696652</v>
      </c>
    </row>
    <row r="41" spans="1:12" ht="15.75">
      <c r="A41" s="118" t="s">
        <v>43</v>
      </c>
      <c r="B41" s="119">
        <v>0.040469119</v>
      </c>
      <c r="C41" s="119">
        <v>2.634861946</v>
      </c>
      <c r="D41" s="119">
        <v>1.926003648</v>
      </c>
      <c r="E41" s="119">
        <v>1.668682375</v>
      </c>
      <c r="F41" s="119">
        <v>1.535868802</v>
      </c>
      <c r="G41" s="119">
        <v>1.401037566</v>
      </c>
      <c r="H41" s="119">
        <v>1.301844827</v>
      </c>
      <c r="I41" s="119">
        <v>1.267053785</v>
      </c>
      <c r="J41" s="119">
        <v>1.245339762</v>
      </c>
      <c r="K41" s="119">
        <v>1.213289165</v>
      </c>
      <c r="L41" s="119">
        <v>1.160355311</v>
      </c>
    </row>
    <row r="42" spans="1:12" ht="15.75">
      <c r="A42" s="118" t="s">
        <v>44</v>
      </c>
      <c r="B42" s="119">
        <v>0.030350322</v>
      </c>
      <c r="C42" s="119">
        <v>2.579879553</v>
      </c>
      <c r="D42" s="119">
        <v>1.877114209</v>
      </c>
      <c r="E42" s="119">
        <v>1.658276689</v>
      </c>
      <c r="F42" s="119">
        <v>1.526298907</v>
      </c>
      <c r="G42" s="119">
        <v>1.395804694</v>
      </c>
      <c r="H42" s="119">
        <v>1.298022152</v>
      </c>
      <c r="I42" s="119">
        <v>1.264493186</v>
      </c>
      <c r="J42" s="119">
        <v>1.241075427</v>
      </c>
      <c r="K42" s="119">
        <v>1.210286445</v>
      </c>
      <c r="L42" s="119">
        <v>1.15568864</v>
      </c>
    </row>
    <row r="43" spans="1:12" ht="15.75">
      <c r="A43" s="118" t="s">
        <v>45</v>
      </c>
      <c r="B43" s="119">
        <v>0.02254518</v>
      </c>
      <c r="C43" s="119">
        <v>2.51845199</v>
      </c>
      <c r="D43" s="119">
        <v>1.841403864</v>
      </c>
      <c r="E43" s="119">
        <v>1.647371092</v>
      </c>
      <c r="F43" s="119">
        <v>1.516481208</v>
      </c>
      <c r="G43" s="119">
        <v>1.389535112</v>
      </c>
      <c r="H43" s="119">
        <v>1.294507564</v>
      </c>
      <c r="I43" s="119">
        <v>1.263182004</v>
      </c>
      <c r="J43" s="119">
        <v>1.239059477</v>
      </c>
      <c r="K43" s="119">
        <v>1.207924951</v>
      </c>
      <c r="L43" s="119">
        <v>1.151813938</v>
      </c>
    </row>
    <row r="44" spans="1:12" ht="15.75">
      <c r="A44" s="118" t="s">
        <v>46</v>
      </c>
      <c r="B44" s="119">
        <v>0.016512986</v>
      </c>
      <c r="C44" s="119">
        <v>2.45570624</v>
      </c>
      <c r="D44" s="119">
        <v>1.811442603</v>
      </c>
      <c r="E44" s="119">
        <v>1.635239252</v>
      </c>
      <c r="F44" s="119">
        <v>1.506608403</v>
      </c>
      <c r="G44" s="119">
        <v>1.377288264</v>
      </c>
      <c r="H44" s="119">
        <v>1.29158213</v>
      </c>
      <c r="I44" s="119">
        <v>1.261521841</v>
      </c>
      <c r="J44" s="119">
        <v>1.235460581</v>
      </c>
      <c r="K44" s="119">
        <v>1.204590644</v>
      </c>
      <c r="L44" s="119">
        <v>1.148125012</v>
      </c>
    </row>
    <row r="45" spans="1:12" ht="15.75">
      <c r="A45" s="118" t="s">
        <v>47</v>
      </c>
      <c r="B45" s="119">
        <v>0.012127634</v>
      </c>
      <c r="C45" s="119">
        <v>2.386010863</v>
      </c>
      <c r="D45" s="119">
        <v>1.785751003</v>
      </c>
      <c r="E45" s="119">
        <v>1.622026227</v>
      </c>
      <c r="F45" s="119">
        <v>1.483854971</v>
      </c>
      <c r="G45" s="119">
        <v>1.368888763</v>
      </c>
      <c r="H45" s="119">
        <v>1.289006695</v>
      </c>
      <c r="I45" s="119">
        <v>1.260013605</v>
      </c>
      <c r="J45" s="119">
        <v>1.233083196</v>
      </c>
      <c r="K45" s="119">
        <v>1.201414106</v>
      </c>
      <c r="L45" s="119">
        <v>1.146089557</v>
      </c>
    </row>
    <row r="46" spans="1:12" ht="12.75">
      <c r="A46" s="117"/>
      <c r="B46" s="117">
        <v>2004</v>
      </c>
      <c r="C46" s="117">
        <v>2005</v>
      </c>
      <c r="D46" s="117">
        <v>2006</v>
      </c>
      <c r="E46" s="117">
        <v>2007</v>
      </c>
      <c r="F46" s="117">
        <v>2008</v>
      </c>
      <c r="G46" s="117">
        <v>2009</v>
      </c>
      <c r="H46" s="117">
        <v>2010</v>
      </c>
      <c r="I46" s="117">
        <v>2011</v>
      </c>
      <c r="J46" s="117">
        <v>2012</v>
      </c>
      <c r="K46" s="117">
        <v>2013</v>
      </c>
      <c r="L46" s="117">
        <v>2014</v>
      </c>
    </row>
    <row r="47" spans="1:12" ht="15.75">
      <c r="A47" s="118" t="s">
        <v>36</v>
      </c>
      <c r="B47" s="119">
        <v>1.143917258</v>
      </c>
      <c r="C47" s="119">
        <v>1.123487556</v>
      </c>
      <c r="D47" s="119">
        <v>1.092530422</v>
      </c>
      <c r="E47" s="119">
        <v>1.070712168</v>
      </c>
      <c r="F47" s="119">
        <v>1.055457525</v>
      </c>
      <c r="G47" s="119">
        <v>1.038479998</v>
      </c>
      <c r="H47" s="119">
        <v>1.03116895</v>
      </c>
      <c r="I47" s="119">
        <v>1.024115338</v>
      </c>
      <c r="J47" s="119">
        <v>1.01189261</v>
      </c>
      <c r="K47" s="119">
        <v>1.008969532</v>
      </c>
      <c r="L47" s="119">
        <v>1.007045842</v>
      </c>
    </row>
    <row r="48" spans="1:12" ht="15.75">
      <c r="A48" s="118" t="s">
        <v>37</v>
      </c>
      <c r="B48" s="119">
        <v>1.142454916</v>
      </c>
      <c r="C48" s="119">
        <v>1.121379362</v>
      </c>
      <c r="D48" s="119">
        <v>1.089995093</v>
      </c>
      <c r="E48" s="119">
        <v>1.068373498</v>
      </c>
      <c r="F48" s="119">
        <v>1.054392588</v>
      </c>
      <c r="G48" s="119">
        <v>1.036572705</v>
      </c>
      <c r="H48" s="119">
        <v>1.03116895</v>
      </c>
      <c r="I48" s="119">
        <v>1.023383618</v>
      </c>
      <c r="J48" s="119">
        <v>1.011019089</v>
      </c>
      <c r="K48" s="119">
        <v>1.008969532</v>
      </c>
      <c r="L48" s="119">
        <v>1.005913184</v>
      </c>
    </row>
    <row r="49" spans="1:12" ht="15.75">
      <c r="A49" s="118" t="s">
        <v>38</v>
      </c>
      <c r="B49" s="119">
        <v>1.141931911</v>
      </c>
      <c r="C49" s="119">
        <v>1.120301632</v>
      </c>
      <c r="D49" s="119">
        <v>1.089205419</v>
      </c>
      <c r="E49" s="119">
        <v>1.067603756</v>
      </c>
      <c r="F49" s="119">
        <v>1.054136433</v>
      </c>
      <c r="G49" s="119">
        <v>1.036105421</v>
      </c>
      <c r="H49" s="119">
        <v>1.03116895</v>
      </c>
      <c r="I49" s="119">
        <v>1.022847646</v>
      </c>
      <c r="J49" s="119">
        <v>1.011019089</v>
      </c>
      <c r="K49" s="119">
        <v>1.008969532</v>
      </c>
      <c r="L49" s="119">
        <v>1.005373298</v>
      </c>
    </row>
    <row r="50" spans="1:12" ht="15.75">
      <c r="A50" s="118" t="s">
        <v>39</v>
      </c>
      <c r="B50" s="119">
        <v>1.13990516</v>
      </c>
      <c r="C50" s="119">
        <v>1.117357396</v>
      </c>
      <c r="D50" s="119">
        <v>1.086952167</v>
      </c>
      <c r="E50" s="119">
        <v>1.065604682</v>
      </c>
      <c r="F50" s="119">
        <v>1.053705468</v>
      </c>
      <c r="G50" s="119">
        <v>1.034617641</v>
      </c>
      <c r="H50" s="119">
        <v>1.03035291</v>
      </c>
      <c r="I50" s="119">
        <v>1.021609456</v>
      </c>
      <c r="J50" s="119">
        <v>1.009940473</v>
      </c>
      <c r="K50" s="119">
        <v>1.008969532</v>
      </c>
      <c r="L50" s="119">
        <v>1.00510594</v>
      </c>
    </row>
    <row r="51" spans="1:12" ht="15.75">
      <c r="A51" s="118" t="s">
        <v>40</v>
      </c>
      <c r="B51" s="119">
        <v>1.138909753</v>
      </c>
      <c r="C51" s="119">
        <v>1.115123803</v>
      </c>
      <c r="D51" s="119">
        <v>1.086023617</v>
      </c>
      <c r="E51" s="119">
        <v>1.064250954</v>
      </c>
      <c r="F51" s="119">
        <v>1.052700139</v>
      </c>
      <c r="G51" s="119">
        <v>1.034148138</v>
      </c>
      <c r="H51" s="119">
        <v>1.03035291</v>
      </c>
      <c r="I51" s="119">
        <v>1.021232621</v>
      </c>
      <c r="J51" s="119">
        <v>1.009711269</v>
      </c>
      <c r="K51" s="119">
        <v>1.008969532</v>
      </c>
      <c r="L51" s="119">
        <v>1.004644808</v>
      </c>
    </row>
    <row r="52" spans="1:12" ht="15.75">
      <c r="A52" s="118" t="s">
        <v>41</v>
      </c>
      <c r="B52" s="119">
        <v>1.137151716</v>
      </c>
      <c r="C52" s="119">
        <v>1.112312988</v>
      </c>
      <c r="D52" s="119">
        <v>1.083977068</v>
      </c>
      <c r="E52" s="119">
        <v>1.062456465</v>
      </c>
      <c r="F52" s="119">
        <v>1.051925921</v>
      </c>
      <c r="G52" s="119">
        <v>1.033684013</v>
      </c>
      <c r="H52" s="119">
        <v>1.029827698</v>
      </c>
      <c r="I52" s="119">
        <v>1.019631799</v>
      </c>
      <c r="J52" s="119">
        <v>1.009238945</v>
      </c>
      <c r="K52" s="119">
        <v>1.008969532</v>
      </c>
      <c r="L52" s="119">
        <v>1.004038369</v>
      </c>
    </row>
    <row r="53" spans="1:12" ht="15.75">
      <c r="A53" s="118" t="s">
        <v>42</v>
      </c>
      <c r="B53" s="119">
        <v>1.135152712</v>
      </c>
      <c r="C53" s="119">
        <v>1.108993769</v>
      </c>
      <c r="D53" s="119">
        <v>1.081881464</v>
      </c>
      <c r="E53" s="119">
        <v>1.061443848</v>
      </c>
      <c r="F53" s="119">
        <v>1.050721794</v>
      </c>
      <c r="G53" s="119">
        <v>1.033006361</v>
      </c>
      <c r="H53" s="119">
        <v>1.029221487</v>
      </c>
      <c r="I53" s="119">
        <v>1.018497193</v>
      </c>
      <c r="J53" s="119">
        <v>1.009238945</v>
      </c>
      <c r="K53" s="119">
        <v>1.008969532</v>
      </c>
      <c r="L53" s="119">
        <v>1.003571708</v>
      </c>
    </row>
    <row r="54" spans="1:12" ht="15.75">
      <c r="A54" s="118" t="s">
        <v>43</v>
      </c>
      <c r="B54" s="119">
        <v>1.132941211</v>
      </c>
      <c r="C54" s="119">
        <v>1.106145445</v>
      </c>
      <c r="D54" s="119">
        <v>1.079990401</v>
      </c>
      <c r="E54" s="119">
        <v>1.059886874</v>
      </c>
      <c r="F54" s="119">
        <v>1.048714555</v>
      </c>
      <c r="G54" s="119">
        <v>1.031921811</v>
      </c>
      <c r="H54" s="119">
        <v>1.028038215</v>
      </c>
      <c r="I54" s="119">
        <v>1.017246996</v>
      </c>
      <c r="J54" s="119">
        <v>1.009093635</v>
      </c>
      <c r="K54" s="119">
        <v>1.008758701</v>
      </c>
      <c r="L54" s="119">
        <v>1.002515057</v>
      </c>
    </row>
    <row r="55" spans="1:12" ht="15.75">
      <c r="A55" s="118" t="s">
        <v>44</v>
      </c>
      <c r="B55" s="119">
        <v>1.130674209</v>
      </c>
      <c r="C55" s="119">
        <v>1.102324787</v>
      </c>
      <c r="D55" s="119">
        <v>1.077365937</v>
      </c>
      <c r="E55" s="119">
        <v>1.058335355</v>
      </c>
      <c r="F55" s="119">
        <v>1.047066472</v>
      </c>
      <c r="G55" s="119">
        <v>1.031718563</v>
      </c>
      <c r="H55" s="119">
        <v>1.027104577</v>
      </c>
      <c r="I55" s="119">
        <v>1.015139567</v>
      </c>
      <c r="J55" s="119">
        <v>1.008969532</v>
      </c>
      <c r="K55" s="119">
        <v>1.008758701</v>
      </c>
      <c r="L55" s="120">
        <v>1.001911906</v>
      </c>
    </row>
    <row r="56" spans="1:12" ht="15.75">
      <c r="A56" s="118" t="s">
        <v>45</v>
      </c>
      <c r="B56" s="119">
        <v>1.128723774</v>
      </c>
      <c r="C56" s="119">
        <v>1.099425602</v>
      </c>
      <c r="D56" s="119">
        <v>1.075729752</v>
      </c>
      <c r="E56" s="119">
        <v>1.057962952</v>
      </c>
      <c r="F56" s="119">
        <v>1.045007807</v>
      </c>
      <c r="G56" s="119">
        <v>1.031718563</v>
      </c>
      <c r="H56" s="119">
        <v>1.026384055</v>
      </c>
      <c r="I56" s="119">
        <v>1.014122402</v>
      </c>
      <c r="J56" s="119">
        <v>1.008969532</v>
      </c>
      <c r="K56" s="119">
        <v>1.008679016</v>
      </c>
      <c r="L56" s="120">
        <v>1.001038</v>
      </c>
    </row>
    <row r="57" spans="1:12" ht="15.75">
      <c r="A57" s="118" t="s">
        <v>46</v>
      </c>
      <c r="B57" s="119">
        <v>1.127474533</v>
      </c>
      <c r="C57" s="119">
        <v>1.097121646</v>
      </c>
      <c r="D57" s="119">
        <v>1.073716534</v>
      </c>
      <c r="E57" s="119">
        <v>1.056756136</v>
      </c>
      <c r="F57" s="119">
        <v>1.042395563</v>
      </c>
      <c r="G57" s="119">
        <v>1.031718563</v>
      </c>
      <c r="H57" s="119">
        <v>1.02589983</v>
      </c>
      <c r="I57" s="119">
        <v>1.013494036</v>
      </c>
      <c r="J57" s="119">
        <v>1.008969532</v>
      </c>
      <c r="K57" s="119">
        <v>1.007751884</v>
      </c>
      <c r="L57" s="120">
        <v>1</v>
      </c>
    </row>
    <row r="58" spans="1:12" ht="15.75">
      <c r="A58" s="118" t="s">
        <v>47</v>
      </c>
      <c r="B58" s="119">
        <v>1.126183926</v>
      </c>
      <c r="C58" s="119">
        <v>1.095009373</v>
      </c>
      <c r="D58" s="119">
        <v>1.072341792</v>
      </c>
      <c r="E58" s="119">
        <v>1.056133018</v>
      </c>
      <c r="F58" s="119">
        <v>1.040711692</v>
      </c>
      <c r="G58" s="119">
        <v>1.031718563</v>
      </c>
      <c r="H58" s="119">
        <v>1.025555244</v>
      </c>
      <c r="I58" s="119">
        <v>1.012840753</v>
      </c>
      <c r="J58" s="119">
        <v>1.008969532</v>
      </c>
      <c r="K58" s="119">
        <v>1.007543323</v>
      </c>
      <c r="L58" s="12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8.140625" style="1" customWidth="1"/>
    <col min="2" max="2" width="11.7109375" style="1" customWidth="1"/>
    <col min="3" max="3" width="11.421875" style="1" customWidth="1"/>
    <col min="4" max="4" width="15.8515625" style="1" customWidth="1"/>
    <col min="5" max="5" width="12.421875" style="1" customWidth="1"/>
    <col min="6" max="6" width="13.00390625" style="1" customWidth="1"/>
    <col min="7" max="7" width="12.421875" style="1" customWidth="1"/>
    <col min="8" max="8" width="12.140625" style="1" customWidth="1"/>
    <col min="9" max="9" width="12.421875" style="1" customWidth="1"/>
    <col min="10" max="16384" width="9.140625" style="1" customWidth="1"/>
  </cols>
  <sheetData>
    <row r="1" spans="1:4" s="420" customFormat="1" ht="14.25" customHeight="1">
      <c r="A1" s="419" t="s">
        <v>398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8.25" customHeight="1">
      <c r="A3" s="232"/>
      <c r="B3" s="233"/>
      <c r="C3" s="232"/>
      <c r="D3" s="232"/>
    </row>
    <row r="4" ht="10.5">
      <c r="A4" s="1" t="s">
        <v>65</v>
      </c>
    </row>
    <row r="5" ht="10.5">
      <c r="A5" s="2" t="s">
        <v>272</v>
      </c>
    </row>
    <row r="6" ht="10.5">
      <c r="A6" s="2"/>
    </row>
    <row r="7" spans="1:5" ht="10.5" customHeight="1">
      <c r="A7" s="1" t="s">
        <v>367</v>
      </c>
      <c r="B7" s="181"/>
      <c r="C7" s="181"/>
      <c r="D7" s="181"/>
      <c r="E7" s="339"/>
    </row>
    <row r="8" spans="1:5" ht="10.5" customHeight="1">
      <c r="A8" s="1" t="s">
        <v>368</v>
      </c>
      <c r="B8" s="181"/>
      <c r="C8" s="181"/>
      <c r="D8" s="181"/>
      <c r="E8" s="339"/>
    </row>
    <row r="9" spans="1:5" s="2" customFormat="1" ht="10.5" customHeight="1">
      <c r="A9" s="2" t="s">
        <v>375</v>
      </c>
      <c r="B9" s="422"/>
      <c r="C9" s="422"/>
      <c r="D9" s="422"/>
      <c r="E9" s="423"/>
    </row>
    <row r="10" spans="1:5" ht="10.5" customHeight="1">
      <c r="A10" s="1" t="s">
        <v>364</v>
      </c>
      <c r="B10" s="181"/>
      <c r="C10" s="181"/>
      <c r="D10" s="181"/>
      <c r="E10" s="181"/>
    </row>
    <row r="11" ht="10.5" customHeight="1" thickBot="1"/>
    <row r="12" spans="1:9" ht="12" thickBot="1" thickTop="1">
      <c r="A12" s="12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8" t="s">
        <v>13</v>
      </c>
    </row>
    <row r="13" spans="1:2" ht="10.5" customHeight="1" thickBot="1" thickTop="1">
      <c r="A13" s="3"/>
      <c r="B13" s="3"/>
    </row>
    <row r="14" spans="1:9" s="9" customFormat="1" ht="11.25" thickTop="1">
      <c r="A14" s="326" t="s">
        <v>9</v>
      </c>
      <c r="B14" s="327" t="s">
        <v>63</v>
      </c>
      <c r="C14" s="34" t="s">
        <v>66</v>
      </c>
      <c r="D14" s="34" t="s">
        <v>63</v>
      </c>
      <c r="E14" s="34" t="s">
        <v>67</v>
      </c>
      <c r="F14" s="34" t="s">
        <v>67</v>
      </c>
      <c r="G14" s="34" t="s">
        <v>67</v>
      </c>
      <c r="H14" s="34" t="s">
        <v>67</v>
      </c>
      <c r="I14" s="328" t="s">
        <v>68</v>
      </c>
    </row>
    <row r="15" spans="1:9" s="9" customFormat="1" ht="10.5">
      <c r="A15" s="329"/>
      <c r="B15" s="16" t="s">
        <v>64</v>
      </c>
      <c r="C15" s="14" t="s">
        <v>69</v>
      </c>
      <c r="D15" s="14" t="s">
        <v>70</v>
      </c>
      <c r="E15" s="14" t="s">
        <v>256</v>
      </c>
      <c r="F15" s="14" t="s">
        <v>256</v>
      </c>
      <c r="G15" s="14" t="s">
        <v>256</v>
      </c>
      <c r="H15" s="14" t="s">
        <v>256</v>
      </c>
      <c r="I15" s="330" t="s">
        <v>71</v>
      </c>
    </row>
    <row r="16" spans="1:9" s="9" customFormat="1" ht="10.5">
      <c r="A16" s="329"/>
      <c r="B16" s="16" t="s">
        <v>72</v>
      </c>
      <c r="C16" s="14" t="s">
        <v>73</v>
      </c>
      <c r="D16" s="14" t="s">
        <v>74</v>
      </c>
      <c r="E16" s="14" t="s">
        <v>64</v>
      </c>
      <c r="F16" s="14" t="s">
        <v>64</v>
      </c>
      <c r="G16" s="14" t="s">
        <v>64</v>
      </c>
      <c r="H16" s="14" t="s">
        <v>64</v>
      </c>
      <c r="I16" s="330" t="s">
        <v>75</v>
      </c>
    </row>
    <row r="17" spans="1:9" s="9" customFormat="1" ht="10.5">
      <c r="A17" s="329"/>
      <c r="B17" s="16" t="s">
        <v>76</v>
      </c>
      <c r="C17" s="14" t="s">
        <v>77</v>
      </c>
      <c r="D17" s="14" t="s">
        <v>78</v>
      </c>
      <c r="E17" s="14" t="s">
        <v>265</v>
      </c>
      <c r="F17" s="332" t="s">
        <v>266</v>
      </c>
      <c r="G17" s="14" t="s">
        <v>261</v>
      </c>
      <c r="H17" s="14" t="s">
        <v>79</v>
      </c>
      <c r="I17" s="330" t="s">
        <v>80</v>
      </c>
    </row>
    <row r="18" spans="1:9" s="9" customFormat="1" ht="10.5">
      <c r="A18" s="329"/>
      <c r="B18" s="16" t="s">
        <v>81</v>
      </c>
      <c r="C18" s="14" t="s">
        <v>82</v>
      </c>
      <c r="D18" s="14" t="s">
        <v>83</v>
      </c>
      <c r="E18" s="14" t="s">
        <v>267</v>
      </c>
      <c r="F18" s="14" t="s">
        <v>268</v>
      </c>
      <c r="G18" s="14" t="s">
        <v>84</v>
      </c>
      <c r="H18" s="14" t="s">
        <v>84</v>
      </c>
      <c r="I18" s="330" t="s">
        <v>263</v>
      </c>
    </row>
    <row r="19" spans="1:9" s="9" customFormat="1" ht="11.25" thickBot="1">
      <c r="A19" s="331"/>
      <c r="B19" s="426"/>
      <c r="C19" s="35" t="s">
        <v>85</v>
      </c>
      <c r="D19" s="35" t="s">
        <v>399</v>
      </c>
      <c r="E19" s="35"/>
      <c r="F19" s="427"/>
      <c r="G19" s="428"/>
      <c r="H19" s="35"/>
      <c r="I19" s="429"/>
    </row>
    <row r="20" spans="5:8" ht="9.75" customHeight="1" thickTop="1">
      <c r="E20" s="6"/>
      <c r="F20" s="6"/>
      <c r="G20" s="6"/>
      <c r="H20" s="6"/>
    </row>
    <row r="21" spans="1:9" ht="10.5">
      <c r="A21" s="333">
        <v>35431</v>
      </c>
      <c r="B21" s="334">
        <v>957.56</v>
      </c>
      <c r="C21" s="334">
        <f>'06'!D43</f>
        <v>14.93</v>
      </c>
      <c r="D21" s="334">
        <f aca="true" t="shared" si="0" ref="D21:D43">IF(B21=0,C21,IF(C21=0,0,IF(B21&gt;=C21,C21,B21)))</f>
        <v>14.93</v>
      </c>
      <c r="E21" s="334">
        <v>287.27</v>
      </c>
      <c r="F21" s="334">
        <v>336</v>
      </c>
      <c r="G21" s="334">
        <v>478.78</v>
      </c>
      <c r="H21" s="334">
        <f aca="true" t="shared" si="1" ref="H21:H43">B21</f>
        <v>957.56</v>
      </c>
      <c r="I21" s="334">
        <f>IF(D21&lt;=E21,D21*7.82%,IF(D21&lt;=F21,D21*8.82%,IF(D21&lt;=G21,D21*9%,IF(D21&lt;=H21,D21*11%))))</f>
        <v>1.17</v>
      </c>
    </row>
    <row r="22" spans="1:9" ht="10.5">
      <c r="A22" s="333">
        <v>35462</v>
      </c>
      <c r="B22" s="334">
        <v>957.56</v>
      </c>
      <c r="C22" s="334" t="s">
        <v>276</v>
      </c>
      <c r="D22" s="334">
        <v>0</v>
      </c>
      <c r="E22" s="334">
        <v>287.27</v>
      </c>
      <c r="F22" s="334">
        <v>336</v>
      </c>
      <c r="G22" s="334">
        <v>478.78</v>
      </c>
      <c r="H22" s="334">
        <f t="shared" si="1"/>
        <v>957.56</v>
      </c>
      <c r="I22" s="334">
        <f aca="true" t="shared" si="2" ref="I22:I43">IF(D22&lt;=E22,D22*7.82%,IF(D22&lt;=F22,D22*8.82%,IF(D22&lt;=G22,D22*9%,IF(D22&lt;=H22,D22*11%))))</f>
        <v>0</v>
      </c>
    </row>
    <row r="23" spans="1:9" ht="10.5">
      <c r="A23" s="333">
        <v>35490</v>
      </c>
      <c r="B23" s="334">
        <v>957.56</v>
      </c>
      <c r="C23" s="334">
        <f>'06'!D45</f>
        <v>22.4</v>
      </c>
      <c r="D23" s="334">
        <f t="shared" si="0"/>
        <v>22.4</v>
      </c>
      <c r="E23" s="334">
        <v>287.27</v>
      </c>
      <c r="F23" s="334">
        <v>336</v>
      </c>
      <c r="G23" s="334">
        <v>478.78</v>
      </c>
      <c r="H23" s="334">
        <f t="shared" si="1"/>
        <v>957.56</v>
      </c>
      <c r="I23" s="334">
        <f t="shared" si="2"/>
        <v>1.75</v>
      </c>
    </row>
    <row r="24" spans="1:9" ht="10.5">
      <c r="A24" s="333">
        <v>35521</v>
      </c>
      <c r="B24" s="334">
        <v>957.56</v>
      </c>
      <c r="C24" s="334">
        <f>'06'!D46</f>
        <v>39.57</v>
      </c>
      <c r="D24" s="334">
        <f t="shared" si="0"/>
        <v>39.57</v>
      </c>
      <c r="E24" s="334">
        <v>287.27</v>
      </c>
      <c r="F24" s="334">
        <v>336</v>
      </c>
      <c r="G24" s="334">
        <v>478.78</v>
      </c>
      <c r="H24" s="334">
        <f t="shared" si="1"/>
        <v>957.56</v>
      </c>
      <c r="I24" s="334">
        <f t="shared" si="2"/>
        <v>3.09</v>
      </c>
    </row>
    <row r="25" spans="1:9" ht="10.5">
      <c r="A25" s="333">
        <v>35551</v>
      </c>
      <c r="B25" s="334">
        <v>957.56</v>
      </c>
      <c r="C25" s="334">
        <f>'06'!D47</f>
        <v>21.6</v>
      </c>
      <c r="D25" s="334">
        <f t="shared" si="0"/>
        <v>21.6</v>
      </c>
      <c r="E25" s="334">
        <v>287.27</v>
      </c>
      <c r="F25" s="334">
        <v>336</v>
      </c>
      <c r="G25" s="334">
        <v>478.78</v>
      </c>
      <c r="H25" s="334">
        <f t="shared" si="1"/>
        <v>957.56</v>
      </c>
      <c r="I25" s="334">
        <f t="shared" si="2"/>
        <v>1.69</v>
      </c>
    </row>
    <row r="26" spans="1:9" ht="10.5">
      <c r="A26" s="142">
        <v>35582</v>
      </c>
      <c r="B26" s="143">
        <v>1031.87</v>
      </c>
      <c r="C26" s="334">
        <f>'06'!D48</f>
        <v>24</v>
      </c>
      <c r="D26" s="143">
        <f t="shared" si="0"/>
        <v>24</v>
      </c>
      <c r="E26" s="143">
        <v>309.56</v>
      </c>
      <c r="F26" s="143">
        <v>360</v>
      </c>
      <c r="G26" s="143">
        <v>515.93</v>
      </c>
      <c r="H26" s="143">
        <f t="shared" si="1"/>
        <v>1031.87</v>
      </c>
      <c r="I26" s="143">
        <f t="shared" si="2"/>
        <v>1.88</v>
      </c>
    </row>
    <row r="27" spans="1:9" ht="10.5">
      <c r="A27" s="142">
        <v>35612</v>
      </c>
      <c r="B27" s="143">
        <v>1031.87</v>
      </c>
      <c r="C27" s="334">
        <f>'06'!D49</f>
        <v>2021.24</v>
      </c>
      <c r="D27" s="143">
        <f t="shared" si="0"/>
        <v>1031.87</v>
      </c>
      <c r="E27" s="143">
        <v>309.56</v>
      </c>
      <c r="F27" s="143">
        <v>360</v>
      </c>
      <c r="G27" s="143">
        <v>515.93</v>
      </c>
      <c r="H27" s="143">
        <f t="shared" si="1"/>
        <v>1031.87</v>
      </c>
      <c r="I27" s="143">
        <f t="shared" si="2"/>
        <v>113.51</v>
      </c>
    </row>
    <row r="28" spans="1:9" ht="10.5">
      <c r="A28" s="142">
        <v>35643</v>
      </c>
      <c r="B28" s="143">
        <v>1031.87</v>
      </c>
      <c r="C28" s="334">
        <f>'06'!D50</f>
        <v>1971.65</v>
      </c>
      <c r="D28" s="143">
        <f t="shared" si="0"/>
        <v>1031.87</v>
      </c>
      <c r="E28" s="143">
        <v>309.56</v>
      </c>
      <c r="F28" s="143">
        <v>360</v>
      </c>
      <c r="G28" s="143">
        <v>515.93</v>
      </c>
      <c r="H28" s="143">
        <f t="shared" si="1"/>
        <v>1031.87</v>
      </c>
      <c r="I28" s="143">
        <f t="shared" si="2"/>
        <v>113.51</v>
      </c>
    </row>
    <row r="29" spans="1:9" ht="10.5">
      <c r="A29" s="142">
        <v>35674</v>
      </c>
      <c r="B29" s="143">
        <v>1031.87</v>
      </c>
      <c r="C29" s="334">
        <f>'06'!D51</f>
        <v>1495.41</v>
      </c>
      <c r="D29" s="143">
        <f t="shared" si="0"/>
        <v>1031.87</v>
      </c>
      <c r="E29" s="143">
        <v>309.56</v>
      </c>
      <c r="F29" s="143">
        <v>360</v>
      </c>
      <c r="G29" s="143">
        <v>515.93</v>
      </c>
      <c r="H29" s="143">
        <f t="shared" si="1"/>
        <v>1031.87</v>
      </c>
      <c r="I29" s="143">
        <f t="shared" si="2"/>
        <v>113.51</v>
      </c>
    </row>
    <row r="30" spans="1:9" ht="10.5">
      <c r="A30" s="142">
        <v>35704</v>
      </c>
      <c r="B30" s="143">
        <v>1031.87</v>
      </c>
      <c r="C30" s="334">
        <f>'06'!D52</f>
        <v>24</v>
      </c>
      <c r="D30" s="143">
        <f t="shared" si="0"/>
        <v>24</v>
      </c>
      <c r="E30" s="143">
        <v>309.56</v>
      </c>
      <c r="F30" s="143">
        <v>360</v>
      </c>
      <c r="G30" s="143">
        <v>515.93</v>
      </c>
      <c r="H30" s="143">
        <f t="shared" si="1"/>
        <v>1031.87</v>
      </c>
      <c r="I30" s="143">
        <f t="shared" si="2"/>
        <v>1.88</v>
      </c>
    </row>
    <row r="31" spans="1:9" ht="10.5">
      <c r="A31" s="142">
        <v>35735</v>
      </c>
      <c r="B31" s="143">
        <v>1031.87</v>
      </c>
      <c r="C31" s="334">
        <f>'06'!D53</f>
        <v>24</v>
      </c>
      <c r="D31" s="143">
        <f t="shared" si="0"/>
        <v>24</v>
      </c>
      <c r="E31" s="143">
        <v>309.56</v>
      </c>
      <c r="F31" s="143">
        <v>360</v>
      </c>
      <c r="G31" s="143">
        <v>515.93</v>
      </c>
      <c r="H31" s="143">
        <f t="shared" si="1"/>
        <v>1031.87</v>
      </c>
      <c r="I31" s="143">
        <f t="shared" si="2"/>
        <v>1.88</v>
      </c>
    </row>
    <row r="32" spans="1:9" ht="10.5">
      <c r="A32" s="142">
        <v>35765</v>
      </c>
      <c r="B32" s="143">
        <v>1031.87</v>
      </c>
      <c r="C32" s="334">
        <f>'06'!D54</f>
        <v>48</v>
      </c>
      <c r="D32" s="143">
        <f t="shared" si="0"/>
        <v>48</v>
      </c>
      <c r="E32" s="143">
        <v>309.56</v>
      </c>
      <c r="F32" s="143">
        <v>360</v>
      </c>
      <c r="G32" s="143">
        <v>515.93</v>
      </c>
      <c r="H32" s="143">
        <f t="shared" si="1"/>
        <v>1031.87</v>
      </c>
      <c r="I32" s="143">
        <f t="shared" si="2"/>
        <v>3.75</v>
      </c>
    </row>
    <row r="33" spans="1:9" ht="10.5">
      <c r="A33" s="142" t="s">
        <v>269</v>
      </c>
      <c r="B33" s="143">
        <f>B32</f>
        <v>1031.87</v>
      </c>
      <c r="C33" s="334">
        <f>'06'!D55</f>
        <v>24</v>
      </c>
      <c r="D33" s="143">
        <f t="shared" si="0"/>
        <v>24</v>
      </c>
      <c r="E33" s="143">
        <v>309.56</v>
      </c>
      <c r="F33" s="143">
        <v>360</v>
      </c>
      <c r="G33" s="143">
        <v>515.93</v>
      </c>
      <c r="H33" s="143">
        <f t="shared" si="1"/>
        <v>1031.87</v>
      </c>
      <c r="I33" s="143">
        <f t="shared" si="2"/>
        <v>1.88</v>
      </c>
    </row>
    <row r="34" spans="1:9" ht="10.5">
      <c r="A34" s="142">
        <v>35796</v>
      </c>
      <c r="B34" s="143">
        <v>1031.87</v>
      </c>
      <c r="C34" s="334">
        <f>'06'!D56</f>
        <v>24</v>
      </c>
      <c r="D34" s="143">
        <f t="shared" si="0"/>
        <v>24</v>
      </c>
      <c r="E34" s="143">
        <v>309.56</v>
      </c>
      <c r="F34" s="143">
        <v>360</v>
      </c>
      <c r="G34" s="143">
        <v>515.93</v>
      </c>
      <c r="H34" s="143">
        <f t="shared" si="1"/>
        <v>1031.87</v>
      </c>
      <c r="I34" s="143">
        <f t="shared" si="2"/>
        <v>1.88</v>
      </c>
    </row>
    <row r="35" spans="1:9" ht="10.5">
      <c r="A35" s="142">
        <v>35827</v>
      </c>
      <c r="B35" s="143">
        <v>1031.87</v>
      </c>
      <c r="C35" s="334">
        <f>'06'!D57</f>
        <v>44</v>
      </c>
      <c r="D35" s="143">
        <f t="shared" si="0"/>
        <v>44</v>
      </c>
      <c r="E35" s="143">
        <v>309.56</v>
      </c>
      <c r="F35" s="143">
        <v>360</v>
      </c>
      <c r="G35" s="143">
        <v>515.93</v>
      </c>
      <c r="H35" s="143">
        <f t="shared" si="1"/>
        <v>1031.87</v>
      </c>
      <c r="I35" s="143">
        <f t="shared" si="2"/>
        <v>3.44</v>
      </c>
    </row>
    <row r="36" spans="1:9" ht="10.5">
      <c r="A36" s="142">
        <v>35855</v>
      </c>
      <c r="B36" s="143">
        <v>1031.87</v>
      </c>
      <c r="C36" s="334">
        <f>'06'!D58</f>
        <v>12.8</v>
      </c>
      <c r="D36" s="143">
        <f t="shared" si="0"/>
        <v>12.8</v>
      </c>
      <c r="E36" s="143">
        <v>309.56</v>
      </c>
      <c r="F36" s="143">
        <v>360</v>
      </c>
      <c r="G36" s="143">
        <v>515.93</v>
      </c>
      <c r="H36" s="143">
        <f t="shared" si="1"/>
        <v>1031.87</v>
      </c>
      <c r="I36" s="143">
        <f t="shared" si="2"/>
        <v>1</v>
      </c>
    </row>
    <row r="37" spans="1:9" ht="10.5">
      <c r="A37" s="142">
        <v>35886</v>
      </c>
      <c r="B37" s="143">
        <v>1031.87</v>
      </c>
      <c r="C37" s="334">
        <f>'06'!D59</f>
        <v>26</v>
      </c>
      <c r="D37" s="143">
        <f t="shared" si="0"/>
        <v>26</v>
      </c>
      <c r="E37" s="143">
        <v>309.56</v>
      </c>
      <c r="F37" s="143">
        <v>360</v>
      </c>
      <c r="G37" s="143">
        <v>515.93</v>
      </c>
      <c r="H37" s="143">
        <f t="shared" si="1"/>
        <v>1031.87</v>
      </c>
      <c r="I37" s="143">
        <f t="shared" si="2"/>
        <v>2.03</v>
      </c>
    </row>
    <row r="38" spans="1:9" ht="10.5">
      <c r="A38" s="142">
        <v>35916</v>
      </c>
      <c r="B38" s="143">
        <v>1031.87</v>
      </c>
      <c r="C38" s="334">
        <f>'06'!D60</f>
        <v>20.8</v>
      </c>
      <c r="D38" s="143">
        <f t="shared" si="0"/>
        <v>20.8</v>
      </c>
      <c r="E38" s="143">
        <v>324.45</v>
      </c>
      <c r="F38" s="143">
        <v>390</v>
      </c>
      <c r="G38" s="143">
        <v>540.75</v>
      </c>
      <c r="H38" s="143">
        <f t="shared" si="1"/>
        <v>1031.87</v>
      </c>
      <c r="I38" s="143">
        <f t="shared" si="2"/>
        <v>1.63</v>
      </c>
    </row>
    <row r="39" spans="1:9" ht="10.5">
      <c r="A39" s="142">
        <v>35947</v>
      </c>
      <c r="B39" s="143">
        <v>1081.5</v>
      </c>
      <c r="C39" s="334">
        <f>'06'!D61</f>
        <v>23.4</v>
      </c>
      <c r="D39" s="143">
        <f t="shared" si="0"/>
        <v>23.4</v>
      </c>
      <c r="E39" s="143">
        <v>324.45</v>
      </c>
      <c r="F39" s="143">
        <v>390</v>
      </c>
      <c r="G39" s="143">
        <v>540.75</v>
      </c>
      <c r="H39" s="143">
        <f t="shared" si="1"/>
        <v>1081.5</v>
      </c>
      <c r="I39" s="143">
        <f t="shared" si="2"/>
        <v>1.83</v>
      </c>
    </row>
    <row r="40" spans="1:9" ht="10.5">
      <c r="A40" s="142">
        <v>35977</v>
      </c>
      <c r="B40" s="143">
        <v>1081.5</v>
      </c>
      <c r="C40" s="334">
        <f>'06'!D62</f>
        <v>26</v>
      </c>
      <c r="D40" s="143">
        <f t="shared" si="0"/>
        <v>26</v>
      </c>
      <c r="E40" s="143">
        <v>324.45</v>
      </c>
      <c r="F40" s="143">
        <v>390</v>
      </c>
      <c r="G40" s="143">
        <v>540.75</v>
      </c>
      <c r="H40" s="143">
        <f t="shared" si="1"/>
        <v>1081.5</v>
      </c>
      <c r="I40" s="143">
        <f t="shared" si="2"/>
        <v>2.03</v>
      </c>
    </row>
    <row r="41" spans="1:9" ht="10.5">
      <c r="A41" s="142">
        <v>36008</v>
      </c>
      <c r="B41" s="143">
        <v>1081.5</v>
      </c>
      <c r="C41" s="334">
        <f>'06'!D63</f>
        <v>52</v>
      </c>
      <c r="D41" s="143">
        <f t="shared" si="0"/>
        <v>52</v>
      </c>
      <c r="E41" s="143">
        <v>324.45</v>
      </c>
      <c r="F41" s="143">
        <v>390</v>
      </c>
      <c r="G41" s="143">
        <v>540.75</v>
      </c>
      <c r="H41" s="143">
        <f t="shared" si="1"/>
        <v>1081.5</v>
      </c>
      <c r="I41" s="143">
        <f t="shared" si="2"/>
        <v>4.07</v>
      </c>
    </row>
    <row r="42" spans="1:9" ht="10.5">
      <c r="A42" s="142">
        <v>36039</v>
      </c>
      <c r="B42" s="143">
        <v>1081.5</v>
      </c>
      <c r="C42" s="334">
        <f>'06'!D64</f>
        <v>50.75</v>
      </c>
      <c r="D42" s="143">
        <f t="shared" si="0"/>
        <v>50.75</v>
      </c>
      <c r="E42" s="143">
        <v>324.45</v>
      </c>
      <c r="F42" s="143">
        <v>390</v>
      </c>
      <c r="G42" s="143">
        <v>540.75</v>
      </c>
      <c r="H42" s="143">
        <f t="shared" si="1"/>
        <v>1081.5</v>
      </c>
      <c r="I42" s="143">
        <f t="shared" si="2"/>
        <v>3.97</v>
      </c>
    </row>
    <row r="43" spans="1:9" ht="10.5">
      <c r="A43" s="142">
        <v>36069</v>
      </c>
      <c r="B43" s="143">
        <v>1081.5</v>
      </c>
      <c r="C43" s="334">
        <f>'06'!D65</f>
        <v>0</v>
      </c>
      <c r="D43" s="143">
        <f t="shared" si="0"/>
        <v>0</v>
      </c>
      <c r="E43" s="143">
        <v>324.45</v>
      </c>
      <c r="F43" s="143">
        <v>390</v>
      </c>
      <c r="G43" s="143">
        <v>540.75</v>
      </c>
      <c r="H43" s="143">
        <f t="shared" si="1"/>
        <v>1081.5</v>
      </c>
      <c r="I43" s="143">
        <f t="shared" si="2"/>
        <v>0</v>
      </c>
    </row>
    <row r="45" spans="3:9" ht="10.5">
      <c r="C45" s="353">
        <f>SUM(C21:C44)</f>
        <v>6010.55</v>
      </c>
      <c r="I45" s="353">
        <f>SUM(I21:I44)</f>
        <v>381.38</v>
      </c>
    </row>
    <row r="46" ht="11.25" customHeight="1"/>
    <row r="47" spans="5:8" ht="10.5">
      <c r="E47" s="232"/>
      <c r="F47" s="232"/>
      <c r="G47" s="232"/>
      <c r="H47" s="232" t="s">
        <v>373</v>
      </c>
    </row>
    <row r="48" spans="5:8" ht="12.75">
      <c r="E48" s="421"/>
      <c r="F48" s="232"/>
      <c r="G48" s="421" t="s">
        <v>374</v>
      </c>
      <c r="H48" s="232"/>
    </row>
  </sheetData>
  <sheetProtection/>
  <hyperlinks>
    <hyperlink ref="G48" r:id="rId1" display="www.sentenca.com.br"/>
  </hyperlinks>
  <printOptions/>
  <pageMargins left="1.6929133858267718" right="0.5118110236220472" top="0.7874015748031497" bottom="0.3937007874015748" header="0.31496062992125984" footer="0.31496062992125984"/>
  <pageSetup horizontalDpi="600" verticalDpi="600" orientation="landscape" paperSize="9" r:id="rId2"/>
  <headerFooter>
    <oddHeader>&amp;R
&amp;"Tahoma,Normal"&amp;8Anexo: 09
Folha : 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4">
      <selection activeCell="J34" sqref="J34"/>
    </sheetView>
  </sheetViews>
  <sheetFormatPr defaultColWidth="11.421875" defaultRowHeight="11.25" customHeight="1"/>
  <cols>
    <col min="1" max="1" width="7.7109375" style="57" customWidth="1"/>
    <col min="2" max="2" width="9.8515625" style="57" customWidth="1"/>
    <col min="3" max="3" width="10.7109375" style="57" customWidth="1"/>
    <col min="4" max="4" width="10.8515625" style="57" customWidth="1"/>
    <col min="5" max="5" width="11.7109375" style="57" customWidth="1"/>
    <col min="6" max="6" width="11.421875" style="57" customWidth="1"/>
    <col min="7" max="7" width="10.140625" style="57" customWidth="1"/>
    <col min="8" max="8" width="11.57421875" style="57" customWidth="1"/>
    <col min="9" max="16384" width="11.421875" style="57" customWidth="1"/>
  </cols>
  <sheetData>
    <row r="1" spans="1:4" s="420" customFormat="1" ht="14.25" customHeight="1">
      <c r="A1" s="419" t="s">
        <v>390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ht="10.5" customHeight="1">
      <c r="A4" s="57" t="s">
        <v>88</v>
      </c>
    </row>
    <row r="5" ht="10.5" customHeight="1"/>
    <row r="6" spans="1:5" s="1" customFormat="1" ht="10.5" customHeight="1">
      <c r="A6" s="1" t="s">
        <v>367</v>
      </c>
      <c r="B6" s="181"/>
      <c r="C6" s="181"/>
      <c r="D6" s="181"/>
      <c r="E6" s="339"/>
    </row>
    <row r="7" spans="1:5" s="1" customFormat="1" ht="10.5" customHeight="1">
      <c r="A7" s="1" t="s">
        <v>368</v>
      </c>
      <c r="B7" s="181"/>
      <c r="C7" s="181"/>
      <c r="D7" s="181"/>
      <c r="E7" s="339"/>
    </row>
    <row r="8" spans="1:5" s="2" customFormat="1" ht="10.5" customHeight="1">
      <c r="A8" s="2" t="s">
        <v>375</v>
      </c>
      <c r="B8" s="422"/>
      <c r="C8" s="422"/>
      <c r="D8" s="422"/>
      <c r="E8" s="423"/>
    </row>
    <row r="9" spans="1:4" s="1" customFormat="1" ht="10.5" customHeight="1">
      <c r="A9" s="1" t="s">
        <v>365</v>
      </c>
      <c r="B9" s="181"/>
      <c r="C9" s="181"/>
      <c r="D9" s="181"/>
    </row>
    <row r="10" spans="1:5" s="1" customFormat="1" ht="10.5" customHeight="1">
      <c r="A10" s="1" t="s">
        <v>366</v>
      </c>
      <c r="B10" s="181"/>
      <c r="C10" s="181"/>
      <c r="D10" s="181"/>
      <c r="E10" s="339"/>
    </row>
    <row r="11" ht="15" customHeight="1" thickBot="1"/>
    <row r="12" spans="1:8" s="416" customFormat="1" ht="12.75" customHeight="1" thickBot="1" thickTop="1">
      <c r="A12" s="414" t="s">
        <v>1</v>
      </c>
      <c r="B12" s="415" t="s">
        <v>2</v>
      </c>
      <c r="C12" s="415" t="s">
        <v>3</v>
      </c>
      <c r="D12" s="415" t="s">
        <v>4</v>
      </c>
      <c r="E12" s="415" t="s">
        <v>5</v>
      </c>
      <c r="F12" s="415" t="s">
        <v>6</v>
      </c>
      <c r="G12" s="415" t="s">
        <v>7</v>
      </c>
      <c r="H12" s="415" t="s">
        <v>8</v>
      </c>
    </row>
    <row r="13" ht="10.5" customHeight="1" thickBot="1" thickTop="1"/>
    <row r="14" spans="1:8" ht="12.75" customHeight="1" thickTop="1">
      <c r="A14" s="92" t="s">
        <v>9</v>
      </c>
      <c r="B14" s="60" t="s">
        <v>59</v>
      </c>
      <c r="C14" s="60" t="s">
        <v>59</v>
      </c>
      <c r="D14" s="139" t="s">
        <v>173</v>
      </c>
      <c r="E14" s="60" t="s">
        <v>59</v>
      </c>
      <c r="F14" s="60" t="s">
        <v>11</v>
      </c>
      <c r="G14" s="60" t="s">
        <v>89</v>
      </c>
      <c r="H14" s="144" t="s">
        <v>59</v>
      </c>
    </row>
    <row r="15" spans="1:8" ht="10.5" customHeight="1">
      <c r="A15" s="93"/>
      <c r="B15" s="61" t="s">
        <v>63</v>
      </c>
      <c r="C15" s="61" t="s">
        <v>19</v>
      </c>
      <c r="D15" s="140" t="s">
        <v>93</v>
      </c>
      <c r="E15" s="61" t="s">
        <v>90</v>
      </c>
      <c r="F15" s="61" t="s">
        <v>20</v>
      </c>
      <c r="G15" s="61" t="s">
        <v>91</v>
      </c>
      <c r="H15" s="145" t="s">
        <v>63</v>
      </c>
    </row>
    <row r="16" spans="1:8" ht="10.5" customHeight="1">
      <c r="A16" s="93"/>
      <c r="B16" s="61" t="s">
        <v>64</v>
      </c>
      <c r="C16" s="61" t="s">
        <v>92</v>
      </c>
      <c r="D16" s="140" t="s">
        <v>95</v>
      </c>
      <c r="E16" s="61" t="s">
        <v>94</v>
      </c>
      <c r="F16" s="61" t="s">
        <v>23</v>
      </c>
      <c r="G16" s="61" t="s">
        <v>155</v>
      </c>
      <c r="H16" s="145" t="s">
        <v>64</v>
      </c>
    </row>
    <row r="17" spans="1:8" ht="10.5" customHeight="1">
      <c r="A17" s="93"/>
      <c r="B17" s="61" t="s">
        <v>279</v>
      </c>
      <c r="C17" s="61" t="s">
        <v>19</v>
      </c>
      <c r="D17" s="140"/>
      <c r="E17" s="61" t="s">
        <v>96</v>
      </c>
      <c r="F17" s="61" t="s">
        <v>26</v>
      </c>
      <c r="G17" s="61" t="s">
        <v>32</v>
      </c>
      <c r="H17" s="145" t="s">
        <v>24</v>
      </c>
    </row>
    <row r="18" spans="1:8" ht="10.5" customHeight="1">
      <c r="A18" s="93"/>
      <c r="B18" s="61" t="s">
        <v>280</v>
      </c>
      <c r="C18" s="61" t="s">
        <v>97</v>
      </c>
      <c r="D18" s="140"/>
      <c r="E18" s="61"/>
      <c r="F18" s="61" t="s">
        <v>281</v>
      </c>
      <c r="G18" s="61"/>
      <c r="H18" s="145"/>
    </row>
    <row r="19" spans="1:8" ht="10.5" customHeight="1" thickBot="1">
      <c r="A19" s="146"/>
      <c r="B19" s="62"/>
      <c r="C19" s="62"/>
      <c r="D19" s="147"/>
      <c r="E19" s="62" t="s">
        <v>98</v>
      </c>
      <c r="F19" s="354">
        <v>41944</v>
      </c>
      <c r="G19" s="62" t="s">
        <v>99</v>
      </c>
      <c r="H19" s="141" t="s">
        <v>100</v>
      </c>
    </row>
    <row r="20" spans="1:8" s="59" customFormat="1" ht="10.5" customHeight="1" thickTop="1">
      <c r="A20" s="140"/>
      <c r="B20" s="140"/>
      <c r="C20" s="140"/>
      <c r="D20" s="140"/>
      <c r="E20" s="140"/>
      <c r="F20" s="20"/>
      <c r="G20" s="140"/>
      <c r="H20" s="140"/>
    </row>
    <row r="21" spans="1:8" ht="10.5" customHeight="1">
      <c r="A21" s="148">
        <f>'06'!A22</f>
        <v>34790</v>
      </c>
      <c r="B21" s="187" t="s">
        <v>276</v>
      </c>
      <c r="C21" s="149">
        <f>'07'!H22</f>
        <v>58.29</v>
      </c>
      <c r="D21" s="149">
        <v>0</v>
      </c>
      <c r="E21" s="64">
        <f>C21-D21</f>
        <v>58.29</v>
      </c>
      <c r="F21" s="56">
        <f>'03'!M21</f>
        <v>2.10712201</v>
      </c>
      <c r="G21" s="64">
        <f>E21*F21</f>
        <v>122.82</v>
      </c>
      <c r="H21" s="64">
        <v>0</v>
      </c>
    </row>
    <row r="22" spans="1:8" ht="10.5" customHeight="1">
      <c r="A22" s="148">
        <f>'06'!A23</f>
        <v>34820</v>
      </c>
      <c r="B22" s="187">
        <f>'06'!C23</f>
        <v>19.33</v>
      </c>
      <c r="C22" s="149">
        <f>'07'!H23</f>
        <v>1.55</v>
      </c>
      <c r="D22" s="149">
        <v>0</v>
      </c>
      <c r="E22" s="64">
        <f aca="true" t="shared" si="0" ref="E22:E54">C22-D22</f>
        <v>1.55</v>
      </c>
      <c r="F22" s="56">
        <f>'03'!M22</f>
        <v>2.04085346</v>
      </c>
      <c r="G22" s="64">
        <f aca="true" t="shared" si="1" ref="G22:G63">E22*F22</f>
        <v>3.16</v>
      </c>
      <c r="H22" s="64">
        <f aca="true" t="shared" si="2" ref="H22:H63">B22*F22</f>
        <v>39.45</v>
      </c>
    </row>
    <row r="23" spans="1:8" ht="10.5" customHeight="1">
      <c r="A23" s="148">
        <f>'06'!A24</f>
        <v>34851</v>
      </c>
      <c r="B23" s="187">
        <f>'06'!C24</f>
        <v>20</v>
      </c>
      <c r="C23" s="149">
        <f>'07'!H24</f>
        <v>1.6</v>
      </c>
      <c r="D23" s="149">
        <v>0</v>
      </c>
      <c r="E23" s="64">
        <f t="shared" si="0"/>
        <v>1.6</v>
      </c>
      <c r="F23" s="56">
        <f>'03'!M23</f>
        <v>1.98360079</v>
      </c>
      <c r="G23" s="64">
        <f t="shared" si="1"/>
        <v>3.17</v>
      </c>
      <c r="H23" s="64">
        <f t="shared" si="2"/>
        <v>39.67</v>
      </c>
    </row>
    <row r="24" spans="1:8" ht="10.5" customHeight="1">
      <c r="A24" s="148">
        <f>'06'!A25</f>
        <v>34881</v>
      </c>
      <c r="B24" s="187">
        <f>'06'!C25</f>
        <v>20</v>
      </c>
      <c r="C24" s="149">
        <f>'07'!H25</f>
        <v>1.6</v>
      </c>
      <c r="D24" s="149">
        <v>0</v>
      </c>
      <c r="E24" s="64">
        <f t="shared" si="0"/>
        <v>1.6</v>
      </c>
      <c r="F24" s="56">
        <f>'03'!M24</f>
        <v>1.92600365</v>
      </c>
      <c r="G24" s="64">
        <f t="shared" si="1"/>
        <v>3.08</v>
      </c>
      <c r="H24" s="64">
        <f t="shared" si="2"/>
        <v>38.52</v>
      </c>
    </row>
    <row r="25" spans="1:8" ht="10.5" customHeight="1">
      <c r="A25" s="148">
        <f>'06'!A26</f>
        <v>34912</v>
      </c>
      <c r="B25" s="187">
        <f>'06'!C26</f>
        <v>20</v>
      </c>
      <c r="C25" s="149">
        <f>'08'!H22</f>
        <v>1.6</v>
      </c>
      <c r="D25" s="149">
        <v>0</v>
      </c>
      <c r="E25" s="64">
        <f t="shared" si="0"/>
        <v>1.6</v>
      </c>
      <c r="F25" s="56">
        <f>'03'!M25</f>
        <v>1.87711421</v>
      </c>
      <c r="G25" s="64">
        <f t="shared" si="1"/>
        <v>3</v>
      </c>
      <c r="H25" s="64">
        <f t="shared" si="2"/>
        <v>37.54</v>
      </c>
    </row>
    <row r="26" spans="1:8" ht="10.5" customHeight="1">
      <c r="A26" s="148">
        <f>'06'!A27</f>
        <v>34943</v>
      </c>
      <c r="B26" s="187">
        <f>'06'!C27</f>
        <v>20</v>
      </c>
      <c r="C26" s="149">
        <f>'08'!H23</f>
        <v>1.6</v>
      </c>
      <c r="D26" s="149">
        <v>0</v>
      </c>
      <c r="E26" s="64">
        <f t="shared" si="0"/>
        <v>1.6</v>
      </c>
      <c r="F26" s="56">
        <f>'03'!M26</f>
        <v>1.84140386</v>
      </c>
      <c r="G26" s="64">
        <f t="shared" si="1"/>
        <v>2.95</v>
      </c>
      <c r="H26" s="64">
        <f t="shared" si="2"/>
        <v>36.83</v>
      </c>
    </row>
    <row r="27" spans="1:8" ht="10.5" customHeight="1">
      <c r="A27" s="148">
        <f>'06'!A28</f>
        <v>34973</v>
      </c>
      <c r="B27" s="187">
        <f>'06'!C28</f>
        <v>20</v>
      </c>
      <c r="C27" s="149">
        <f>'08'!H24</f>
        <v>1.6</v>
      </c>
      <c r="D27" s="149">
        <v>0</v>
      </c>
      <c r="E27" s="64">
        <f t="shared" si="0"/>
        <v>1.6</v>
      </c>
      <c r="F27" s="56">
        <f>'03'!M27</f>
        <v>1.8114426</v>
      </c>
      <c r="G27" s="64">
        <f t="shared" si="1"/>
        <v>2.9</v>
      </c>
      <c r="H27" s="64">
        <f t="shared" si="2"/>
        <v>36.23</v>
      </c>
    </row>
    <row r="28" spans="1:8" ht="10.5" customHeight="1">
      <c r="A28" s="148">
        <f>'06'!A29</f>
        <v>35004</v>
      </c>
      <c r="B28" s="187">
        <f>'06'!C29</f>
        <v>20</v>
      </c>
      <c r="C28" s="149">
        <f>'08'!H25</f>
        <v>1.6</v>
      </c>
      <c r="D28" s="149">
        <v>0</v>
      </c>
      <c r="E28" s="64">
        <f t="shared" si="0"/>
        <v>1.6</v>
      </c>
      <c r="F28" s="56">
        <f>'03'!M28</f>
        <v>1.785751</v>
      </c>
      <c r="G28" s="64">
        <f t="shared" si="1"/>
        <v>2.86</v>
      </c>
      <c r="H28" s="64">
        <f t="shared" si="2"/>
        <v>35.72</v>
      </c>
    </row>
    <row r="29" spans="1:8" ht="10.5" customHeight="1">
      <c r="A29" s="148">
        <f>'06'!A30</f>
        <v>35034</v>
      </c>
      <c r="B29" s="187">
        <f>'06'!C30</f>
        <v>23.85</v>
      </c>
      <c r="C29" s="149">
        <f>'08'!H26</f>
        <v>1.91</v>
      </c>
      <c r="D29" s="149">
        <v>0</v>
      </c>
      <c r="E29" s="64">
        <f t="shared" si="0"/>
        <v>1.91</v>
      </c>
      <c r="F29" s="56">
        <f>'03'!M29</f>
        <v>1.76213835</v>
      </c>
      <c r="G29" s="64">
        <f t="shared" si="1"/>
        <v>3.37</v>
      </c>
      <c r="H29" s="64">
        <f t="shared" si="2"/>
        <v>42.03</v>
      </c>
    </row>
    <row r="30" spans="1:8" ht="10.5" customHeight="1">
      <c r="A30" s="148">
        <f>'06'!A31</f>
        <v>35065</v>
      </c>
      <c r="B30" s="187">
        <f>'06'!C31</f>
        <v>16.67</v>
      </c>
      <c r="C30" s="149">
        <f>'08'!H27</f>
        <v>1.33</v>
      </c>
      <c r="D30" s="149">
        <v>0</v>
      </c>
      <c r="E30" s="64">
        <f t="shared" si="0"/>
        <v>1.33</v>
      </c>
      <c r="F30" s="56">
        <f>'03'!M30</f>
        <v>1.74033887</v>
      </c>
      <c r="G30" s="64">
        <f t="shared" si="1"/>
        <v>2.31</v>
      </c>
      <c r="H30" s="64">
        <f t="shared" si="2"/>
        <v>29.01</v>
      </c>
    </row>
    <row r="31" spans="1:8" ht="10.5" customHeight="1">
      <c r="A31" s="148">
        <f>'06'!A32</f>
        <v>35096</v>
      </c>
      <c r="B31" s="187" t="s">
        <v>276</v>
      </c>
      <c r="C31" s="149">
        <f>'08'!H28</f>
        <v>0</v>
      </c>
      <c r="D31" s="149">
        <v>0</v>
      </c>
      <c r="E31" s="64">
        <f t="shared" si="0"/>
        <v>0</v>
      </c>
      <c r="F31" s="56">
        <f>'03'!M31</f>
        <v>1.72374779</v>
      </c>
      <c r="G31" s="64">
        <f t="shared" si="1"/>
        <v>0</v>
      </c>
      <c r="H31" s="64">
        <v>0</v>
      </c>
    </row>
    <row r="32" spans="1:8" ht="10.5" customHeight="1">
      <c r="A32" s="148">
        <f>'06'!A33</f>
        <v>35125</v>
      </c>
      <c r="B32" s="187" t="s">
        <v>276</v>
      </c>
      <c r="C32" s="149">
        <f>'08'!H29</f>
        <v>0</v>
      </c>
      <c r="D32" s="149">
        <v>0</v>
      </c>
      <c r="E32" s="64">
        <f t="shared" si="0"/>
        <v>0</v>
      </c>
      <c r="F32" s="56">
        <f>'03'!M32</f>
        <v>1.70983147</v>
      </c>
      <c r="G32" s="64">
        <f t="shared" si="1"/>
        <v>0</v>
      </c>
      <c r="H32" s="64">
        <v>0</v>
      </c>
    </row>
    <row r="33" spans="1:8" ht="10.5" customHeight="1">
      <c r="A33" s="148">
        <f>'06'!A34</f>
        <v>35156</v>
      </c>
      <c r="B33" s="187" t="s">
        <v>276</v>
      </c>
      <c r="C33" s="149">
        <f>'08'!H30</f>
        <v>0</v>
      </c>
      <c r="D33" s="149">
        <v>0</v>
      </c>
      <c r="E33" s="64">
        <f t="shared" si="0"/>
        <v>0</v>
      </c>
      <c r="F33" s="56">
        <f>'03'!M33</f>
        <v>1.69862564</v>
      </c>
      <c r="G33" s="64">
        <f t="shared" si="1"/>
        <v>0</v>
      </c>
      <c r="H33" s="64">
        <v>0</v>
      </c>
    </row>
    <row r="34" spans="1:8" ht="10.5" customHeight="1">
      <c r="A34" s="148">
        <f>'06'!A35</f>
        <v>35186</v>
      </c>
      <c r="B34" s="187" t="s">
        <v>276</v>
      </c>
      <c r="C34" s="149">
        <f>'08'!H31</f>
        <v>0</v>
      </c>
      <c r="D34" s="149">
        <v>0</v>
      </c>
      <c r="E34" s="64">
        <f t="shared" si="0"/>
        <v>0</v>
      </c>
      <c r="F34" s="56">
        <f>'03'!M34</f>
        <v>1.68868268</v>
      </c>
      <c r="G34" s="64">
        <f t="shared" si="1"/>
        <v>0</v>
      </c>
      <c r="H34" s="64">
        <v>0</v>
      </c>
    </row>
    <row r="35" spans="1:8" ht="10.5" customHeight="1">
      <c r="A35" s="148">
        <f>'06'!A36</f>
        <v>35217</v>
      </c>
      <c r="B35" s="187" t="s">
        <v>276</v>
      </c>
      <c r="C35" s="149">
        <f>'08'!H32</f>
        <v>0</v>
      </c>
      <c r="D35" s="149">
        <v>0</v>
      </c>
      <c r="E35" s="64">
        <f t="shared" si="0"/>
        <v>0</v>
      </c>
      <c r="F35" s="56">
        <f>'03'!M35</f>
        <v>1.67844584</v>
      </c>
      <c r="G35" s="64">
        <f t="shared" si="1"/>
        <v>0</v>
      </c>
      <c r="H35" s="64">
        <v>0</v>
      </c>
    </row>
    <row r="36" spans="1:8" ht="10.5" customHeight="1">
      <c r="A36" s="148">
        <f>'06'!A37</f>
        <v>35247</v>
      </c>
      <c r="B36" s="187" t="s">
        <v>276</v>
      </c>
      <c r="C36" s="149">
        <f>'08'!H33</f>
        <v>0</v>
      </c>
      <c r="D36" s="149">
        <v>0</v>
      </c>
      <c r="E36" s="64">
        <f t="shared" si="0"/>
        <v>0</v>
      </c>
      <c r="F36" s="56">
        <f>'03'!M36</f>
        <v>1.66868238</v>
      </c>
      <c r="G36" s="64">
        <f t="shared" si="1"/>
        <v>0</v>
      </c>
      <c r="H36" s="64">
        <v>0</v>
      </c>
    </row>
    <row r="37" spans="1:8" ht="10.5" customHeight="1">
      <c r="A37" s="148">
        <f>'06'!A38</f>
        <v>35278</v>
      </c>
      <c r="B37" s="187" t="s">
        <v>276</v>
      </c>
      <c r="C37" s="149">
        <f>'08'!H34</f>
        <v>0</v>
      </c>
      <c r="D37" s="149">
        <v>0</v>
      </c>
      <c r="E37" s="64">
        <f t="shared" si="0"/>
        <v>0</v>
      </c>
      <c r="F37" s="56">
        <f>'03'!M37</f>
        <v>1.65827669</v>
      </c>
      <c r="G37" s="64">
        <f t="shared" si="1"/>
        <v>0</v>
      </c>
      <c r="H37" s="64">
        <v>0</v>
      </c>
    </row>
    <row r="38" spans="1:8" ht="10.5" customHeight="1">
      <c r="A38" s="148">
        <f>'06'!A39</f>
        <v>35309</v>
      </c>
      <c r="B38" s="187">
        <f>'06'!C39</f>
        <v>8.88</v>
      </c>
      <c r="C38" s="149">
        <f>'08'!H35</f>
        <v>0.71</v>
      </c>
      <c r="D38" s="149">
        <v>0</v>
      </c>
      <c r="E38" s="64">
        <f t="shared" si="0"/>
        <v>0.71</v>
      </c>
      <c r="F38" s="56">
        <f>'03'!M38</f>
        <v>1.64737109</v>
      </c>
      <c r="G38" s="64">
        <f t="shared" si="1"/>
        <v>1.17</v>
      </c>
      <c r="H38" s="64">
        <f t="shared" si="2"/>
        <v>14.63</v>
      </c>
    </row>
    <row r="39" spans="1:8" ht="10.5" customHeight="1">
      <c r="A39" s="148">
        <f>'06'!A40</f>
        <v>35339</v>
      </c>
      <c r="B39" s="187">
        <f>'06'!C40</f>
        <v>22.4</v>
      </c>
      <c r="C39" s="149">
        <f>'08'!H36</f>
        <v>1.79</v>
      </c>
      <c r="D39" s="149">
        <v>0</v>
      </c>
      <c r="E39" s="64">
        <f t="shared" si="0"/>
        <v>1.79</v>
      </c>
      <c r="F39" s="56">
        <f>'03'!M39</f>
        <v>1.63523925</v>
      </c>
      <c r="G39" s="64">
        <f t="shared" si="1"/>
        <v>2.93</v>
      </c>
      <c r="H39" s="64">
        <f t="shared" si="2"/>
        <v>36.63</v>
      </c>
    </row>
    <row r="40" spans="1:8" ht="10.5" customHeight="1">
      <c r="A40" s="148">
        <f>'06'!A41</f>
        <v>35370</v>
      </c>
      <c r="B40" s="187">
        <f>'06'!C41</f>
        <v>22.4</v>
      </c>
      <c r="C40" s="149">
        <f>'08'!H37</f>
        <v>1.79</v>
      </c>
      <c r="D40" s="149">
        <v>0</v>
      </c>
      <c r="E40" s="64">
        <f t="shared" si="0"/>
        <v>1.79</v>
      </c>
      <c r="F40" s="56">
        <f>'03'!M40</f>
        <v>1.62202623</v>
      </c>
      <c r="G40" s="64">
        <f t="shared" si="1"/>
        <v>2.9</v>
      </c>
      <c r="H40" s="64">
        <f t="shared" si="2"/>
        <v>36.33</v>
      </c>
    </row>
    <row r="41" spans="1:8" ht="10.5" customHeight="1">
      <c r="A41" s="148">
        <f>'06'!A42</f>
        <v>35400</v>
      </c>
      <c r="B41" s="187">
        <f>'06'!C42</f>
        <v>44.8</v>
      </c>
      <c r="C41" s="149">
        <f>'08'!H38</f>
        <v>3.58</v>
      </c>
      <c r="D41" s="149">
        <v>0</v>
      </c>
      <c r="E41" s="64">
        <f t="shared" si="0"/>
        <v>3.58</v>
      </c>
      <c r="F41" s="56">
        <f>'03'!M41</f>
        <v>1.60800921</v>
      </c>
      <c r="G41" s="64">
        <f t="shared" si="1"/>
        <v>5.76</v>
      </c>
      <c r="H41" s="64">
        <f t="shared" si="2"/>
        <v>72.04</v>
      </c>
    </row>
    <row r="42" spans="1:8" ht="10.5" customHeight="1">
      <c r="A42" s="148">
        <f>'06'!A43</f>
        <v>35431</v>
      </c>
      <c r="B42" s="187">
        <f>'06'!C43</f>
        <v>14.93</v>
      </c>
      <c r="C42" s="149">
        <f>'09'!I21</f>
        <v>1.17</v>
      </c>
      <c r="D42" s="149">
        <v>0</v>
      </c>
      <c r="E42" s="64">
        <f t="shared" si="0"/>
        <v>1.17</v>
      </c>
      <c r="F42" s="56">
        <f>'03'!M42</f>
        <v>1.59613397</v>
      </c>
      <c r="G42" s="64">
        <f t="shared" si="1"/>
        <v>1.87</v>
      </c>
      <c r="H42" s="64">
        <f t="shared" si="2"/>
        <v>23.83</v>
      </c>
    </row>
    <row r="43" spans="1:8" ht="10.5" customHeight="1">
      <c r="A43" s="148">
        <f>'06'!A44</f>
        <v>35462</v>
      </c>
      <c r="B43" s="187" t="s">
        <v>276</v>
      </c>
      <c r="C43" s="149">
        <f>'09'!I22</f>
        <v>0</v>
      </c>
      <c r="D43" s="149">
        <v>0</v>
      </c>
      <c r="E43" s="64">
        <f t="shared" si="0"/>
        <v>0</v>
      </c>
      <c r="F43" s="56">
        <f>'03'!M43</f>
        <v>1.58564332</v>
      </c>
      <c r="G43" s="64">
        <f t="shared" si="1"/>
        <v>0</v>
      </c>
      <c r="H43" s="64">
        <v>0</v>
      </c>
    </row>
    <row r="44" spans="1:8" ht="10.5" customHeight="1">
      <c r="A44" s="148">
        <f>'06'!A45</f>
        <v>35490</v>
      </c>
      <c r="B44" s="187">
        <f>'06'!C45</f>
        <v>22.4</v>
      </c>
      <c r="C44" s="149">
        <f>'09'!I23</f>
        <v>1.75</v>
      </c>
      <c r="D44" s="149">
        <v>0</v>
      </c>
      <c r="E44" s="64">
        <f t="shared" si="0"/>
        <v>1.75</v>
      </c>
      <c r="F44" s="56">
        <f>'03'!M44</f>
        <v>1.57569129</v>
      </c>
      <c r="G44" s="64">
        <f t="shared" si="1"/>
        <v>2.76</v>
      </c>
      <c r="H44" s="64">
        <f t="shared" si="2"/>
        <v>35.3</v>
      </c>
    </row>
    <row r="45" spans="1:8" ht="10.5" customHeight="1">
      <c r="A45" s="148">
        <f>'06'!A46</f>
        <v>35521</v>
      </c>
      <c r="B45" s="187">
        <f>'06'!C46</f>
        <v>39.57</v>
      </c>
      <c r="C45" s="149">
        <f>'09'!I24</f>
        <v>3.09</v>
      </c>
      <c r="D45" s="149">
        <v>0</v>
      </c>
      <c r="E45" s="64">
        <f t="shared" si="0"/>
        <v>3.09</v>
      </c>
      <c r="F45" s="56">
        <f>'03'!M45</f>
        <v>1.56596508</v>
      </c>
      <c r="G45" s="64">
        <f t="shared" si="1"/>
        <v>4.84</v>
      </c>
      <c r="H45" s="64">
        <f t="shared" si="2"/>
        <v>61.97</v>
      </c>
    </row>
    <row r="46" spans="1:8" ht="10.5" customHeight="1">
      <c r="A46" s="148">
        <f>'06'!A47</f>
        <v>35551</v>
      </c>
      <c r="B46" s="187">
        <f>'06'!C47</f>
        <v>21.6</v>
      </c>
      <c r="C46" s="149">
        <f>'09'!I25</f>
        <v>1.69</v>
      </c>
      <c r="D46" s="149">
        <v>0</v>
      </c>
      <c r="E46" s="64">
        <f t="shared" si="0"/>
        <v>1.69</v>
      </c>
      <c r="F46" s="56">
        <f>'03'!M46</f>
        <v>1.55607776</v>
      </c>
      <c r="G46" s="64">
        <f t="shared" si="1"/>
        <v>2.63</v>
      </c>
      <c r="H46" s="64">
        <f t="shared" si="2"/>
        <v>33.61</v>
      </c>
    </row>
    <row r="47" spans="1:8" ht="10.5" customHeight="1">
      <c r="A47" s="148">
        <f>'06'!A48</f>
        <v>35582</v>
      </c>
      <c r="B47" s="187">
        <f>'06'!C48</f>
        <v>24</v>
      </c>
      <c r="C47" s="149">
        <f>'09'!I26</f>
        <v>1.88</v>
      </c>
      <c r="D47" s="149">
        <v>0</v>
      </c>
      <c r="E47" s="64">
        <f t="shared" si="0"/>
        <v>1.88</v>
      </c>
      <c r="F47" s="56">
        <f>'03'!M47</f>
        <v>1.54597482</v>
      </c>
      <c r="G47" s="64">
        <f t="shared" si="1"/>
        <v>2.91</v>
      </c>
      <c r="H47" s="64">
        <f t="shared" si="2"/>
        <v>37.1</v>
      </c>
    </row>
    <row r="48" spans="1:8" ht="10.5" customHeight="1">
      <c r="A48" s="148">
        <f>'06'!A49</f>
        <v>35612</v>
      </c>
      <c r="B48" s="187">
        <f>'06'!C49</f>
        <v>107.88</v>
      </c>
      <c r="C48" s="149">
        <f>'09'!I27</f>
        <v>113.51</v>
      </c>
      <c r="D48" s="149">
        <v>113.5</v>
      </c>
      <c r="E48" s="64">
        <v>0</v>
      </c>
      <c r="F48" s="56">
        <f>'03'!M48</f>
        <v>1.5358688</v>
      </c>
      <c r="G48" s="64">
        <f t="shared" si="1"/>
        <v>0</v>
      </c>
      <c r="H48" s="64">
        <f t="shared" si="2"/>
        <v>165.69</v>
      </c>
    </row>
    <row r="49" spans="1:8" ht="10.5" customHeight="1">
      <c r="A49" s="148">
        <f>'06'!A50</f>
        <v>35643</v>
      </c>
      <c r="B49" s="187">
        <f>'06'!C50</f>
        <v>106.28</v>
      </c>
      <c r="C49" s="149">
        <f>'09'!I28</f>
        <v>113.51</v>
      </c>
      <c r="D49" s="149">
        <v>113.5</v>
      </c>
      <c r="E49" s="64">
        <v>0</v>
      </c>
      <c r="F49" s="56">
        <f>'03'!M49</f>
        <v>1.52629891</v>
      </c>
      <c r="G49" s="64">
        <f t="shared" si="1"/>
        <v>0</v>
      </c>
      <c r="H49" s="64">
        <f t="shared" si="2"/>
        <v>162.22</v>
      </c>
    </row>
    <row r="50" spans="1:8" ht="10.5" customHeight="1">
      <c r="A50" s="148">
        <f>'06'!A51</f>
        <v>35674</v>
      </c>
      <c r="B50" s="187">
        <f>'06'!C51</f>
        <v>49.19</v>
      </c>
      <c r="C50" s="149">
        <f>'09'!I29</f>
        <v>113.51</v>
      </c>
      <c r="D50" s="149">
        <v>113.5</v>
      </c>
      <c r="E50" s="64">
        <v>0</v>
      </c>
      <c r="F50" s="56">
        <f>'03'!M50</f>
        <v>1.51648121</v>
      </c>
      <c r="G50" s="64">
        <f t="shared" si="1"/>
        <v>0</v>
      </c>
      <c r="H50" s="64">
        <f t="shared" si="2"/>
        <v>74.6</v>
      </c>
    </row>
    <row r="51" spans="1:8" ht="10.5" customHeight="1">
      <c r="A51" s="148">
        <f>'06'!A52</f>
        <v>35704</v>
      </c>
      <c r="B51" s="187">
        <f>'06'!C52</f>
        <v>24</v>
      </c>
      <c r="C51" s="149">
        <f>'09'!I30</f>
        <v>1.88</v>
      </c>
      <c r="D51" s="149">
        <v>0</v>
      </c>
      <c r="E51" s="64">
        <f t="shared" si="0"/>
        <v>1.88</v>
      </c>
      <c r="F51" s="56">
        <f>'03'!M51</f>
        <v>1.5066084</v>
      </c>
      <c r="G51" s="64">
        <f t="shared" si="1"/>
        <v>2.83</v>
      </c>
      <c r="H51" s="64">
        <f t="shared" si="2"/>
        <v>36.16</v>
      </c>
    </row>
    <row r="52" spans="1:8" ht="10.5" customHeight="1">
      <c r="A52" s="148">
        <f>'06'!A53</f>
        <v>35735</v>
      </c>
      <c r="B52" s="187">
        <f>'06'!C53</f>
        <v>24</v>
      </c>
      <c r="C52" s="149">
        <f>'09'!I31</f>
        <v>1.88</v>
      </c>
      <c r="D52" s="149">
        <v>0</v>
      </c>
      <c r="E52" s="64">
        <f t="shared" si="0"/>
        <v>1.88</v>
      </c>
      <c r="F52" s="56">
        <f>'03'!M52</f>
        <v>1.48385497</v>
      </c>
      <c r="G52" s="64">
        <f t="shared" si="1"/>
        <v>2.79</v>
      </c>
      <c r="H52" s="64">
        <f t="shared" si="2"/>
        <v>35.61</v>
      </c>
    </row>
    <row r="53" spans="1:8" ht="10.5" customHeight="1">
      <c r="A53" s="148">
        <f>'06'!A54</f>
        <v>35765</v>
      </c>
      <c r="B53" s="187">
        <f>'06'!C54</f>
        <v>48</v>
      </c>
      <c r="C53" s="149">
        <f>'09'!I32</f>
        <v>3.75</v>
      </c>
      <c r="D53" s="149">
        <v>0</v>
      </c>
      <c r="E53" s="64">
        <f t="shared" si="0"/>
        <v>3.75</v>
      </c>
      <c r="F53" s="56">
        <f>'03'!M53</f>
        <v>1.46468951</v>
      </c>
      <c r="G53" s="64">
        <f t="shared" si="1"/>
        <v>5.49</v>
      </c>
      <c r="H53" s="64">
        <f t="shared" si="2"/>
        <v>70.31</v>
      </c>
    </row>
    <row r="54" spans="1:8" ht="10.5" customHeight="1">
      <c r="A54" s="148">
        <f>'06'!A55</f>
        <v>35796</v>
      </c>
      <c r="B54" s="187">
        <f>'06'!C55</f>
        <v>24</v>
      </c>
      <c r="C54" s="149">
        <f>'09'!I33</f>
        <v>1.88</v>
      </c>
      <c r="D54" s="149">
        <v>0</v>
      </c>
      <c r="E54" s="64">
        <f t="shared" si="0"/>
        <v>1.88</v>
      </c>
      <c r="F54" s="56">
        <f>'03'!M54</f>
        <v>1.44809578</v>
      </c>
      <c r="G54" s="64">
        <f t="shared" si="1"/>
        <v>2.72</v>
      </c>
      <c r="H54" s="64">
        <f t="shared" si="2"/>
        <v>34.75</v>
      </c>
    </row>
    <row r="55" spans="1:8" ht="10.5" customHeight="1">
      <c r="A55" s="148">
        <f>'06'!A56</f>
        <v>35827</v>
      </c>
      <c r="B55" s="187">
        <f>'06'!C56</f>
        <v>24</v>
      </c>
      <c r="C55" s="149">
        <f>'09'!I34</f>
        <v>1.88</v>
      </c>
      <c r="D55" s="149">
        <v>0</v>
      </c>
      <c r="E55" s="64">
        <f aca="true" t="shared" si="3" ref="E55:E63">C55-D55</f>
        <v>1.88</v>
      </c>
      <c r="F55" s="56">
        <f>'03'!M55</f>
        <v>1.44166451</v>
      </c>
      <c r="G55" s="64">
        <f t="shared" si="1"/>
        <v>2.71</v>
      </c>
      <c r="H55" s="64">
        <f t="shared" si="2"/>
        <v>34.6</v>
      </c>
    </row>
    <row r="56" spans="1:8" ht="10.5" customHeight="1">
      <c r="A56" s="148">
        <f>'06'!A57</f>
        <v>35855</v>
      </c>
      <c r="B56" s="187">
        <f>'06'!C57</f>
        <v>44</v>
      </c>
      <c r="C56" s="149">
        <f>'09'!I35</f>
        <v>3.44</v>
      </c>
      <c r="D56" s="149">
        <v>0</v>
      </c>
      <c r="E56" s="64">
        <f t="shared" si="3"/>
        <v>3.44</v>
      </c>
      <c r="F56" s="56">
        <f>'03'!M56</f>
        <v>1.42881235</v>
      </c>
      <c r="G56" s="64">
        <f t="shared" si="1"/>
        <v>4.92</v>
      </c>
      <c r="H56" s="64">
        <f t="shared" si="2"/>
        <v>62.87</v>
      </c>
    </row>
    <row r="57" spans="1:8" ht="10.5" customHeight="1">
      <c r="A57" s="148">
        <f>'06'!A58</f>
        <v>35886</v>
      </c>
      <c r="B57" s="187">
        <f>'06'!C58</f>
        <v>12.8</v>
      </c>
      <c r="C57" s="149">
        <f>'09'!I36</f>
        <v>1</v>
      </c>
      <c r="D57" s="149">
        <v>0</v>
      </c>
      <c r="E57" s="64">
        <f t="shared" si="3"/>
        <v>1</v>
      </c>
      <c r="F57" s="56">
        <f>'03'!M57</f>
        <v>1.42210004</v>
      </c>
      <c r="G57" s="64">
        <f t="shared" si="1"/>
        <v>1.42</v>
      </c>
      <c r="H57" s="64">
        <f t="shared" si="2"/>
        <v>18.2</v>
      </c>
    </row>
    <row r="58" spans="1:8" ht="10.5" customHeight="1">
      <c r="A58" s="148">
        <f>'06'!A59</f>
        <v>35916</v>
      </c>
      <c r="B58" s="187">
        <f>'06'!C59</f>
        <v>26</v>
      </c>
      <c r="C58" s="149">
        <f>'09'!I37</f>
        <v>2.03</v>
      </c>
      <c r="D58" s="149">
        <v>0</v>
      </c>
      <c r="E58" s="64">
        <f t="shared" si="3"/>
        <v>2.03</v>
      </c>
      <c r="F58" s="56">
        <f>'03'!M58</f>
        <v>1.41566865</v>
      </c>
      <c r="G58" s="64">
        <f t="shared" si="1"/>
        <v>2.87</v>
      </c>
      <c r="H58" s="64">
        <f t="shared" si="2"/>
        <v>36.81</v>
      </c>
    </row>
    <row r="59" spans="1:8" ht="10.5" customHeight="1">
      <c r="A59" s="148">
        <f>'06'!A60</f>
        <v>35947</v>
      </c>
      <c r="B59" s="187">
        <f>'06'!C60</f>
        <v>20.8</v>
      </c>
      <c r="C59" s="149">
        <f>'09'!I38</f>
        <v>1.63</v>
      </c>
      <c r="D59" s="149">
        <v>0</v>
      </c>
      <c r="E59" s="64">
        <f t="shared" si="3"/>
        <v>1.63</v>
      </c>
      <c r="F59" s="56">
        <f>'03'!M59</f>
        <v>1.40874748</v>
      </c>
      <c r="G59" s="64">
        <f t="shared" si="1"/>
        <v>2.3</v>
      </c>
      <c r="H59" s="64">
        <f t="shared" si="2"/>
        <v>29.3</v>
      </c>
    </row>
    <row r="60" spans="1:8" ht="10.5" customHeight="1">
      <c r="A60" s="148">
        <f>'06'!A61</f>
        <v>35977</v>
      </c>
      <c r="B60" s="187">
        <f>'06'!C61</f>
        <v>23.4</v>
      </c>
      <c r="C60" s="149">
        <f>'09'!I39</f>
        <v>1.83</v>
      </c>
      <c r="D60" s="149">
        <v>0</v>
      </c>
      <c r="E60" s="64">
        <f t="shared" si="3"/>
        <v>1.83</v>
      </c>
      <c r="F60" s="56">
        <f>'03'!M60</f>
        <v>1.40103757</v>
      </c>
      <c r="G60" s="64">
        <f t="shared" si="1"/>
        <v>2.56</v>
      </c>
      <c r="H60" s="64">
        <f t="shared" si="2"/>
        <v>32.78</v>
      </c>
    </row>
    <row r="61" spans="1:8" ht="10.5" customHeight="1">
      <c r="A61" s="148">
        <f>'06'!A62</f>
        <v>36008</v>
      </c>
      <c r="B61" s="187">
        <f>'06'!C62</f>
        <v>26</v>
      </c>
      <c r="C61" s="149">
        <f>'09'!I40</f>
        <v>2.03</v>
      </c>
      <c r="D61" s="149">
        <v>0</v>
      </c>
      <c r="E61" s="64">
        <f t="shared" si="3"/>
        <v>2.03</v>
      </c>
      <c r="F61" s="56">
        <f>'03'!M61</f>
        <v>1.39580469</v>
      </c>
      <c r="G61" s="64">
        <f t="shared" si="1"/>
        <v>2.83</v>
      </c>
      <c r="H61" s="64">
        <f t="shared" si="2"/>
        <v>36.29</v>
      </c>
    </row>
    <row r="62" spans="1:8" ht="10.5" customHeight="1">
      <c r="A62" s="148">
        <f>'06'!A63</f>
        <v>36039</v>
      </c>
      <c r="B62" s="187">
        <f>'06'!C63</f>
        <v>52</v>
      </c>
      <c r="C62" s="149">
        <f>'09'!I41</f>
        <v>4.07</v>
      </c>
      <c r="D62" s="149">
        <v>0</v>
      </c>
      <c r="E62" s="64">
        <f t="shared" si="3"/>
        <v>4.07</v>
      </c>
      <c r="F62" s="56">
        <f>'03'!M62</f>
        <v>1.38953511</v>
      </c>
      <c r="G62" s="64">
        <f t="shared" si="1"/>
        <v>5.66</v>
      </c>
      <c r="H62" s="64">
        <f t="shared" si="2"/>
        <v>72.26</v>
      </c>
    </row>
    <row r="63" spans="1:8" ht="10.5" customHeight="1">
      <c r="A63" s="148">
        <f>'06'!A64</f>
        <v>36069</v>
      </c>
      <c r="B63" s="187">
        <f>'06'!C64</f>
        <v>50.75</v>
      </c>
      <c r="C63" s="149">
        <f>'09'!I42</f>
        <v>3.97</v>
      </c>
      <c r="D63" s="149">
        <v>0</v>
      </c>
      <c r="E63" s="64">
        <f t="shared" si="3"/>
        <v>3.97</v>
      </c>
      <c r="F63" s="56">
        <f>'03'!M63</f>
        <v>1.37728826</v>
      </c>
      <c r="G63" s="64">
        <f t="shared" si="1"/>
        <v>5.47</v>
      </c>
      <c r="H63" s="64">
        <f t="shared" si="2"/>
        <v>69.9</v>
      </c>
    </row>
    <row r="64" ht="11.25" customHeight="1">
      <c r="D64" s="162"/>
    </row>
    <row r="65" spans="2:8" ht="11.25" customHeight="1">
      <c r="B65" s="150">
        <f>SUM(B21:B64)</f>
        <v>1063.93</v>
      </c>
      <c r="C65" s="150">
        <f>SUM(C21:C64)</f>
        <v>461.93</v>
      </c>
      <c r="D65" s="150">
        <f>SUM(D21:D64)</f>
        <v>340.5</v>
      </c>
      <c r="E65" s="150">
        <f>SUM(E21:E64)</f>
        <v>121.4</v>
      </c>
      <c r="G65" s="150">
        <f>SUM(G21:G64)</f>
        <v>221.96</v>
      </c>
      <c r="H65" s="150">
        <f>SUM(H21:H64)</f>
        <v>1658.79</v>
      </c>
    </row>
    <row r="67" ht="10.5" customHeight="1"/>
    <row r="68" spans="5:6" ht="11.25" customHeight="1">
      <c r="E68" s="232"/>
      <c r="F68" s="232" t="s">
        <v>373</v>
      </c>
    </row>
    <row r="69" spans="5:6" ht="11.25" customHeight="1">
      <c r="E69" s="421" t="s">
        <v>374</v>
      </c>
      <c r="F69" s="232"/>
    </row>
  </sheetData>
  <sheetProtection/>
  <hyperlinks>
    <hyperlink ref="E69" r:id="rId1" display="www.sentenca.com.br"/>
  </hyperlinks>
  <printOptions/>
  <pageMargins left="0.9055118110236221" right="0.4724409448818898" top="0.7874015748031497" bottom="0.5905511811023623" header="0.31496062992125984" footer="0.31496062992125984"/>
  <pageSetup horizontalDpi="600" verticalDpi="600" orientation="portrait" paperSize="9" r:id="rId2"/>
  <headerFooter>
    <oddHeader>&amp;R&amp;"Tahoma,Normal"&amp;8
Anexo: 10
Folha : 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7">
      <selection activeCell="G31" sqref="G31"/>
    </sheetView>
  </sheetViews>
  <sheetFormatPr defaultColWidth="11.421875" defaultRowHeight="12.75"/>
  <cols>
    <col min="1" max="1" width="55.421875" style="57" customWidth="1"/>
    <col min="2" max="2" width="7.8515625" style="57" customWidth="1"/>
    <col min="3" max="3" width="13.8515625" style="156" customWidth="1"/>
    <col min="4" max="16384" width="11.421875" style="57" customWidth="1"/>
  </cols>
  <sheetData>
    <row r="1" spans="1:3" s="420" customFormat="1" ht="14.25" customHeight="1">
      <c r="A1" s="419" t="s">
        <v>400</v>
      </c>
      <c r="B1" s="419"/>
      <c r="C1" s="419"/>
    </row>
    <row r="2" spans="1:3" s="136" customFormat="1" ht="12" customHeight="1">
      <c r="A2" s="232"/>
      <c r="B2" s="233"/>
      <c r="C2" s="232"/>
    </row>
    <row r="3" spans="1:3" s="136" customFormat="1" ht="10.5" customHeight="1">
      <c r="A3" s="232"/>
      <c r="B3" s="233"/>
      <c r="C3" s="232"/>
    </row>
    <row r="4" ht="1.5" customHeight="1" hidden="1">
      <c r="B4" s="156"/>
    </row>
    <row r="5" ht="1.5" customHeight="1" hidden="1">
      <c r="B5" s="156"/>
    </row>
    <row r="6" spans="1:3" ht="15" customHeight="1">
      <c r="A6" s="417" t="s">
        <v>124</v>
      </c>
      <c r="B6" s="417"/>
      <c r="C6" s="417"/>
    </row>
    <row r="7" spans="1:3" s="157" customFormat="1" ht="12.75" customHeight="1">
      <c r="A7" s="417" t="s">
        <v>125</v>
      </c>
      <c r="B7" s="417"/>
      <c r="C7" s="417"/>
    </row>
    <row r="8" ht="19.5" customHeight="1">
      <c r="B8" s="156"/>
    </row>
    <row r="9" spans="1:4" s="1" customFormat="1" ht="10.5" customHeight="1">
      <c r="A9" s="1" t="s">
        <v>367</v>
      </c>
      <c r="B9" s="181"/>
      <c r="C9" s="181"/>
      <c r="D9" s="339"/>
    </row>
    <row r="10" spans="1:4" s="1" customFormat="1" ht="10.5" customHeight="1">
      <c r="A10" s="1" t="s">
        <v>368</v>
      </c>
      <c r="B10" s="181"/>
      <c r="C10" s="181"/>
      <c r="D10" s="339"/>
    </row>
    <row r="11" spans="1:4" s="2" customFormat="1" ht="10.5" customHeight="1">
      <c r="A11" s="2" t="s">
        <v>375</v>
      </c>
      <c r="B11" s="422"/>
      <c r="C11" s="422"/>
      <c r="D11" s="423"/>
    </row>
    <row r="12" spans="1:3" s="1" customFormat="1" ht="10.5" customHeight="1">
      <c r="A12" s="1" t="s">
        <v>365</v>
      </c>
      <c r="B12" s="181"/>
      <c r="C12" s="181"/>
    </row>
    <row r="13" spans="1:4" s="1" customFormat="1" ht="10.5" customHeight="1">
      <c r="A13" s="1" t="s">
        <v>366</v>
      </c>
      <c r="B13" s="181"/>
      <c r="C13" s="181"/>
      <c r="D13" s="339"/>
    </row>
    <row r="14" spans="1:3" ht="10.5">
      <c r="A14" s="135"/>
      <c r="B14" s="156"/>
      <c r="C14" s="158"/>
    </row>
    <row r="15" spans="1:3" ht="9" customHeight="1">
      <c r="A15" s="135"/>
      <c r="B15" s="156"/>
      <c r="C15" s="158"/>
    </row>
    <row r="16" spans="1:3" ht="10.5">
      <c r="A16" s="160" t="s">
        <v>126</v>
      </c>
      <c r="B16" s="159" t="s">
        <v>127</v>
      </c>
      <c r="C16" s="158">
        <f>'03'!N65</f>
        <v>1844.53</v>
      </c>
    </row>
    <row r="17" spans="1:3" ht="10.5">
      <c r="A17" s="160"/>
      <c r="B17" s="159"/>
      <c r="C17" s="158"/>
    </row>
    <row r="18" spans="1:3" ht="10.5">
      <c r="A18" s="160" t="s">
        <v>128</v>
      </c>
      <c r="B18" s="159" t="s">
        <v>127</v>
      </c>
      <c r="C18" s="161">
        <f>'03'!U54</f>
        <v>179.05</v>
      </c>
    </row>
    <row r="19" spans="1:3" ht="10.5">
      <c r="A19" s="160"/>
      <c r="B19" s="159"/>
      <c r="C19" s="161"/>
    </row>
    <row r="20" spans="1:3" ht="10.5">
      <c r="A20" s="160" t="s">
        <v>129</v>
      </c>
      <c r="B20" s="159" t="s">
        <v>127</v>
      </c>
      <c r="C20" s="158">
        <v>0</v>
      </c>
    </row>
    <row r="21" spans="1:3" ht="10.5">
      <c r="A21" s="160"/>
      <c r="B21" s="159"/>
      <c r="C21" s="158"/>
    </row>
    <row r="22" spans="1:3" ht="10.5">
      <c r="A22" s="160" t="s">
        <v>282</v>
      </c>
      <c r="B22" s="159" t="s">
        <v>127</v>
      </c>
      <c r="C22" s="158">
        <f>'03'!U58</f>
        <v>53.05</v>
      </c>
    </row>
    <row r="23" spans="1:3" ht="10.5">
      <c r="A23" s="160"/>
      <c r="B23" s="159"/>
      <c r="C23" s="158"/>
    </row>
    <row r="24" spans="1:4" ht="10.5">
      <c r="A24" s="160" t="s">
        <v>130</v>
      </c>
      <c r="B24" s="159" t="s">
        <v>127</v>
      </c>
      <c r="C24" s="158">
        <f>'10'!G65</f>
        <v>221.96</v>
      </c>
      <c r="D24" s="162"/>
    </row>
    <row r="25" spans="1:4" ht="10.5">
      <c r="A25" s="160"/>
      <c r="B25" s="159"/>
      <c r="C25" s="158"/>
      <c r="D25" s="163"/>
    </row>
    <row r="26" spans="1:4" ht="10.5">
      <c r="A26" s="160" t="s">
        <v>131</v>
      </c>
      <c r="B26" s="159" t="s">
        <v>127</v>
      </c>
      <c r="C26" s="161">
        <f>'03'!S65</f>
        <v>185.73</v>
      </c>
      <c r="D26" s="163"/>
    </row>
    <row r="27" spans="2:4" ht="10.5">
      <c r="B27" s="159"/>
      <c r="C27" s="158"/>
      <c r="D27" s="96"/>
    </row>
    <row r="28" spans="1:3" ht="10.5">
      <c r="A28" s="160" t="s">
        <v>132</v>
      </c>
      <c r="B28" s="159" t="s">
        <v>127</v>
      </c>
      <c r="C28" s="164">
        <f>C16-(C18+C20+C22+C24+C26)</f>
        <v>1204.74</v>
      </c>
    </row>
    <row r="29" spans="1:3" ht="10.5">
      <c r="A29" s="160"/>
      <c r="B29" s="159"/>
      <c r="C29" s="162"/>
    </row>
    <row r="30" spans="1:3" ht="10.5" customHeight="1">
      <c r="A30" s="57" t="s">
        <v>133</v>
      </c>
      <c r="B30" s="159"/>
      <c r="C30" s="165">
        <v>47</v>
      </c>
    </row>
    <row r="31" spans="1:3" ht="10.5">
      <c r="A31" s="160"/>
      <c r="B31" s="159"/>
      <c r="C31" s="158"/>
    </row>
    <row r="32" spans="1:3" ht="10.5">
      <c r="A32" s="188" t="s">
        <v>134</v>
      </c>
      <c r="B32" s="159" t="s">
        <v>127</v>
      </c>
      <c r="C32" s="158">
        <f>C28/C30</f>
        <v>25.63</v>
      </c>
    </row>
    <row r="33" spans="1:3" ht="10.5">
      <c r="A33" s="160"/>
      <c r="B33" s="159"/>
      <c r="C33" s="158"/>
    </row>
    <row r="34" spans="1:3" ht="10.5">
      <c r="A34" s="57" t="s">
        <v>135</v>
      </c>
      <c r="B34" s="159" t="s">
        <v>127</v>
      </c>
      <c r="C34" s="166">
        <v>0</v>
      </c>
    </row>
    <row r="35" spans="1:3" ht="10.5">
      <c r="A35" s="160"/>
      <c r="B35" s="159"/>
      <c r="C35" s="167"/>
    </row>
    <row r="36" spans="1:3" ht="13.5" customHeight="1">
      <c r="A36" s="57" t="s">
        <v>136</v>
      </c>
      <c r="B36" s="159" t="s">
        <v>127</v>
      </c>
      <c r="C36" s="161" t="s">
        <v>137</v>
      </c>
    </row>
    <row r="37" spans="2:3" ht="10.5">
      <c r="B37" s="159"/>
      <c r="C37" s="161"/>
    </row>
    <row r="38" spans="1:3" ht="10.5">
      <c r="A38" s="57" t="s">
        <v>138</v>
      </c>
      <c r="B38" s="159" t="s">
        <v>127</v>
      </c>
      <c r="C38" s="158">
        <v>0</v>
      </c>
    </row>
    <row r="39" spans="2:3" ht="10.5" customHeight="1">
      <c r="B39" s="159"/>
      <c r="C39" s="161" t="s">
        <v>139</v>
      </c>
    </row>
    <row r="40" ht="10.5" customHeight="1">
      <c r="B40" s="159"/>
    </row>
    <row r="41" spans="1:3" ht="10.5" customHeight="1">
      <c r="A41" s="58" t="s">
        <v>140</v>
      </c>
      <c r="B41" s="168" t="s">
        <v>127</v>
      </c>
      <c r="C41" s="189" t="s">
        <v>137</v>
      </c>
    </row>
    <row r="42" ht="15" customHeight="1"/>
    <row r="43" ht="14.25" customHeight="1"/>
    <row r="44" ht="25.5" customHeight="1" hidden="1"/>
    <row r="45" spans="1:3" s="170" customFormat="1" ht="12" customHeight="1">
      <c r="A45" s="169" t="s">
        <v>141</v>
      </c>
      <c r="B45" s="169"/>
      <c r="C45" s="169"/>
    </row>
    <row r="46" spans="1:3" ht="3.75" customHeight="1">
      <c r="A46" s="126"/>
      <c r="B46" s="126"/>
      <c r="C46" s="126"/>
    </row>
    <row r="47" spans="1:3" ht="11.25" customHeight="1">
      <c r="A47" s="171" t="s">
        <v>142</v>
      </c>
      <c r="B47" s="126"/>
      <c r="C47" s="126"/>
    </row>
    <row r="48" spans="1:3" ht="9.75" customHeight="1" thickBot="1">
      <c r="A48" s="172"/>
      <c r="B48" s="126"/>
      <c r="C48" s="126"/>
    </row>
    <row r="49" spans="1:3" s="175" customFormat="1" ht="32.25" customHeight="1" thickBot="1">
      <c r="A49" s="173" t="s">
        <v>143</v>
      </c>
      <c r="B49" s="174" t="s">
        <v>144</v>
      </c>
      <c r="C49" s="174" t="s">
        <v>145</v>
      </c>
    </row>
    <row r="50" spans="1:3" ht="13.5" thickBot="1">
      <c r="A50" s="176" t="s">
        <v>146</v>
      </c>
      <c r="B50" s="177" t="s">
        <v>0</v>
      </c>
      <c r="C50" s="177" t="s">
        <v>0</v>
      </c>
    </row>
    <row r="51" spans="1:3" ht="13.5" thickBot="1">
      <c r="A51" s="176" t="s">
        <v>147</v>
      </c>
      <c r="B51" s="177">
        <v>7.5</v>
      </c>
      <c r="C51" s="177">
        <v>134.08</v>
      </c>
    </row>
    <row r="52" spans="1:3" ht="13.5" thickBot="1">
      <c r="A52" s="176" t="s">
        <v>148</v>
      </c>
      <c r="B52" s="177">
        <v>15</v>
      </c>
      <c r="C52" s="177">
        <v>335.03</v>
      </c>
    </row>
    <row r="53" spans="1:3" ht="13.5" thickBot="1">
      <c r="A53" s="176" t="s">
        <v>149</v>
      </c>
      <c r="B53" s="177">
        <v>22.5</v>
      </c>
      <c r="C53" s="177">
        <v>602.96</v>
      </c>
    </row>
    <row r="54" spans="1:3" ht="13.5" thickBot="1">
      <c r="A54" s="176" t="s">
        <v>150</v>
      </c>
      <c r="B54" s="177">
        <v>27.5</v>
      </c>
      <c r="C54" s="177">
        <v>826.15</v>
      </c>
    </row>
    <row r="55" spans="1:3" ht="12.75">
      <c r="A55" s="178"/>
      <c r="B55" s="179"/>
      <c r="C55" s="179"/>
    </row>
    <row r="56" spans="1:3" ht="10.5">
      <c r="A56" s="180" t="s">
        <v>174</v>
      </c>
      <c r="B56" s="184"/>
      <c r="C56" s="184"/>
    </row>
    <row r="59" spans="1:2" ht="10.5">
      <c r="A59" s="232"/>
      <c r="B59" s="232" t="s">
        <v>373</v>
      </c>
    </row>
    <row r="60" spans="1:2" ht="12.75">
      <c r="A60" s="421" t="s">
        <v>374</v>
      </c>
      <c r="B60" s="232"/>
    </row>
  </sheetData>
  <sheetProtection/>
  <mergeCells count="2">
    <mergeCell ref="A6:C6"/>
    <mergeCell ref="A7:C7"/>
  </mergeCells>
  <hyperlinks>
    <hyperlink ref="A60" r:id="rId1" display="www.sentenca.com.br"/>
  </hyperlinks>
  <printOptions/>
  <pageMargins left="1.1811023622047245" right="0.7086614173228347" top="0.984251968503937" bottom="0.5905511811023623" header="0.31496062992125984" footer="0.31496062992125984"/>
  <pageSetup horizontalDpi="600" verticalDpi="600" orientation="portrait" paperSize="9" r:id="rId2"/>
  <headerFooter>
    <oddHeader>&amp;R
&amp;"Tahoma,Normal"&amp;8Anexo: 11
Folha : 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3">
      <selection activeCell="N46" sqref="N46"/>
    </sheetView>
  </sheetViews>
  <sheetFormatPr defaultColWidth="11.421875" defaultRowHeight="12.75"/>
  <cols>
    <col min="1" max="1" width="1.28515625" style="63" customWidth="1"/>
    <col min="2" max="2" width="4.140625" style="63" customWidth="1"/>
    <col min="3" max="3" width="1.8515625" style="63" customWidth="1"/>
    <col min="4" max="4" width="39.00390625" style="63" customWidth="1"/>
    <col min="5" max="5" width="12.00390625" style="63" customWidth="1"/>
    <col min="6" max="6" width="2.28125" style="63" customWidth="1"/>
    <col min="7" max="7" width="10.140625" style="63" customWidth="1"/>
    <col min="8" max="8" width="2.00390625" style="219" customWidth="1"/>
    <col min="9" max="9" width="14.140625" style="63" customWidth="1"/>
    <col min="10" max="10" width="1.8515625" style="63" customWidth="1"/>
    <col min="11" max="11" width="11.421875" style="63" customWidth="1"/>
    <col min="12" max="12" width="10.421875" style="63" customWidth="1"/>
    <col min="13" max="16384" width="11.421875" style="63" customWidth="1"/>
  </cols>
  <sheetData>
    <row r="1" spans="1:4" s="420" customFormat="1" ht="14.25" customHeight="1">
      <c r="A1" s="419" t="s">
        <v>401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ht="7.5" customHeight="1" hidden="1">
      <c r="F4" s="69"/>
    </row>
    <row r="5" ht="10.5" hidden="1">
      <c r="F5" s="69"/>
    </row>
    <row r="6" spans="1:10" s="228" customFormat="1" ht="15">
      <c r="A6" s="418" t="s">
        <v>29</v>
      </c>
      <c r="B6" s="418"/>
      <c r="C6" s="418"/>
      <c r="D6" s="418"/>
      <c r="E6" s="418"/>
      <c r="F6" s="418"/>
      <c r="G6" s="418"/>
      <c r="H6" s="418"/>
      <c r="I6" s="418"/>
      <c r="J6" s="418"/>
    </row>
    <row r="7" spans="4:9" ht="15" customHeight="1">
      <c r="D7" s="70"/>
      <c r="E7" s="71"/>
      <c r="F7" s="71"/>
      <c r="G7" s="71"/>
      <c r="I7" s="71"/>
    </row>
    <row r="8" spans="1:4" s="1" customFormat="1" ht="10.5" customHeight="1">
      <c r="A8" s="1" t="s">
        <v>367</v>
      </c>
      <c r="B8" s="181"/>
      <c r="C8" s="181"/>
      <c r="D8" s="339"/>
    </row>
    <row r="9" spans="1:4" s="1" customFormat="1" ht="10.5" customHeight="1">
      <c r="A9" s="1" t="s">
        <v>368</v>
      </c>
      <c r="B9" s="181"/>
      <c r="C9" s="181"/>
      <c r="D9" s="339"/>
    </row>
    <row r="10" spans="1:4" s="2" customFormat="1" ht="10.5" customHeight="1">
      <c r="A10" s="2" t="s">
        <v>375</v>
      </c>
      <c r="B10" s="422"/>
      <c r="C10" s="422"/>
      <c r="D10" s="423"/>
    </row>
    <row r="11" spans="1:4" s="1" customFormat="1" ht="10.5" customHeight="1">
      <c r="A11" s="1" t="s">
        <v>365</v>
      </c>
      <c r="B11" s="181"/>
      <c r="C11" s="181"/>
      <c r="D11" s="181"/>
    </row>
    <row r="12" spans="1:5" s="1" customFormat="1" ht="10.5" customHeight="1">
      <c r="A12" s="1" t="s">
        <v>366</v>
      </c>
      <c r="B12" s="181"/>
      <c r="C12" s="181"/>
      <c r="D12" s="181"/>
      <c r="E12" s="339"/>
    </row>
    <row r="13" spans="1:6" ht="14.25" customHeight="1">
      <c r="A13" s="135"/>
      <c r="B13" s="135"/>
      <c r="C13" s="135"/>
      <c r="F13" s="69"/>
    </row>
    <row r="14" spans="1:10" ht="8.25" customHeight="1">
      <c r="A14" s="72"/>
      <c r="B14" s="73"/>
      <c r="C14" s="73"/>
      <c r="D14" s="73"/>
      <c r="E14" s="73"/>
      <c r="F14" s="74"/>
      <c r="G14" s="73"/>
      <c r="H14" s="220"/>
      <c r="I14" s="73"/>
      <c r="J14" s="75"/>
    </row>
    <row r="15" spans="1:10" ht="10.5">
      <c r="A15" s="76"/>
      <c r="B15" s="78"/>
      <c r="C15" s="78"/>
      <c r="D15" s="151" t="s">
        <v>101</v>
      </c>
      <c r="E15" s="78"/>
      <c r="F15" s="80"/>
      <c r="G15" s="152" t="s">
        <v>30</v>
      </c>
      <c r="H15" s="152"/>
      <c r="I15" s="152"/>
      <c r="J15" s="77"/>
    </row>
    <row r="16" spans="1:10" ht="10.5">
      <c r="A16" s="76"/>
      <c r="B16" s="78"/>
      <c r="C16" s="78"/>
      <c r="D16" s="78"/>
      <c r="E16" s="78"/>
      <c r="F16" s="79"/>
      <c r="G16" s="152" t="s">
        <v>31</v>
      </c>
      <c r="H16" s="152"/>
      <c r="I16" s="152"/>
      <c r="J16" s="77"/>
    </row>
    <row r="17" spans="1:10" ht="9.75" customHeight="1">
      <c r="A17" s="76"/>
      <c r="B17" s="78"/>
      <c r="C17" s="78"/>
      <c r="D17" s="78"/>
      <c r="E17" s="78"/>
      <c r="F17" s="79"/>
      <c r="G17" s="80"/>
      <c r="H17" s="152"/>
      <c r="I17" s="80"/>
      <c r="J17" s="77"/>
    </row>
    <row r="18" spans="1:10" ht="0.75" customHeight="1" hidden="1">
      <c r="A18" s="76"/>
      <c r="B18" s="78"/>
      <c r="C18" s="78"/>
      <c r="D18" s="78"/>
      <c r="E18" s="78"/>
      <c r="F18" s="79"/>
      <c r="G18" s="80"/>
      <c r="H18" s="152"/>
      <c r="I18" s="80"/>
      <c r="J18" s="77"/>
    </row>
    <row r="19" spans="1:10" ht="10.5" customHeight="1">
      <c r="A19" s="76"/>
      <c r="B19" s="78"/>
      <c r="C19" s="78"/>
      <c r="D19" s="84" t="s">
        <v>283</v>
      </c>
      <c r="E19" s="78"/>
      <c r="F19" s="81"/>
      <c r="G19" s="78"/>
      <c r="H19" s="221"/>
      <c r="I19" s="78"/>
      <c r="J19" s="77"/>
    </row>
    <row r="20" spans="1:10" ht="10.5">
      <c r="A20" s="76"/>
      <c r="B20" s="78" t="s">
        <v>102</v>
      </c>
      <c r="C20" s="190" t="s">
        <v>0</v>
      </c>
      <c r="D20" s="99" t="s">
        <v>103</v>
      </c>
      <c r="E20" s="82"/>
      <c r="F20" s="81" t="s">
        <v>12</v>
      </c>
      <c r="G20" s="83">
        <f>'02'!I188</f>
        <v>538429.79</v>
      </c>
      <c r="H20" s="222"/>
      <c r="I20" s="83"/>
      <c r="J20" s="77"/>
    </row>
    <row r="21" spans="1:10" ht="10.5">
      <c r="A21" s="76"/>
      <c r="B21" s="78" t="s">
        <v>104</v>
      </c>
      <c r="C21" s="190" t="s">
        <v>0</v>
      </c>
      <c r="D21" s="99" t="s">
        <v>105</v>
      </c>
      <c r="E21" s="82"/>
      <c r="F21" s="81" t="s">
        <v>12</v>
      </c>
      <c r="G21" s="83">
        <f>'02'!K188-'02'!I188</f>
        <v>38531.38</v>
      </c>
      <c r="H21" s="222"/>
      <c r="I21" s="83"/>
      <c r="J21" s="77"/>
    </row>
    <row r="22" spans="1:10" ht="10.5">
      <c r="A22" s="76"/>
      <c r="B22" s="78" t="s">
        <v>106</v>
      </c>
      <c r="C22" s="190" t="s">
        <v>0</v>
      </c>
      <c r="D22" s="99" t="s">
        <v>107</v>
      </c>
      <c r="E22" s="82"/>
      <c r="F22" s="81" t="s">
        <v>12</v>
      </c>
      <c r="G22" s="83">
        <f>'02'!M188</f>
        <v>457633.23</v>
      </c>
      <c r="H22" s="222"/>
      <c r="I22" s="83"/>
      <c r="J22" s="77"/>
    </row>
    <row r="23" spans="1:10" ht="3.75" customHeight="1">
      <c r="A23" s="76"/>
      <c r="B23" s="78"/>
      <c r="C23" s="78"/>
      <c r="D23" s="78"/>
      <c r="E23" s="78"/>
      <c r="F23" s="81"/>
      <c r="G23" s="78"/>
      <c r="H23" s="223"/>
      <c r="I23" s="87"/>
      <c r="J23" s="77"/>
    </row>
    <row r="24" spans="1:10" ht="14.25" customHeight="1">
      <c r="A24" s="76"/>
      <c r="B24" s="73" t="s">
        <v>108</v>
      </c>
      <c r="C24" s="191" t="s">
        <v>0</v>
      </c>
      <c r="D24" s="73" t="s">
        <v>109</v>
      </c>
      <c r="E24" s="73"/>
      <c r="F24" s="74"/>
      <c r="G24" s="192"/>
      <c r="H24" s="224" t="s">
        <v>12</v>
      </c>
      <c r="I24" s="210">
        <f>SUM(G20:G23)</f>
        <v>1034594.4</v>
      </c>
      <c r="J24" s="77"/>
    </row>
    <row r="25" spans="1:10" ht="13.5" customHeight="1">
      <c r="A25" s="76"/>
      <c r="B25" s="78"/>
      <c r="C25" s="78"/>
      <c r="D25" s="78"/>
      <c r="E25" s="78"/>
      <c r="F25" s="81"/>
      <c r="G25" s="78"/>
      <c r="H25" s="221"/>
      <c r="I25" s="78"/>
      <c r="J25" s="77"/>
    </row>
    <row r="26" spans="1:10" ht="10.5" customHeight="1">
      <c r="A26" s="76"/>
      <c r="B26" s="78"/>
      <c r="C26" s="78"/>
      <c r="D26" s="84" t="s">
        <v>284</v>
      </c>
      <c r="E26" s="78"/>
      <c r="F26" s="81"/>
      <c r="G26" s="78"/>
      <c r="H26" s="221"/>
      <c r="I26" s="78"/>
      <c r="J26" s="77"/>
    </row>
    <row r="27" spans="1:10" ht="10.5">
      <c r="A27" s="76"/>
      <c r="B27" s="78" t="s">
        <v>110</v>
      </c>
      <c r="C27" s="190" t="s">
        <v>0</v>
      </c>
      <c r="D27" s="99" t="s">
        <v>103</v>
      </c>
      <c r="E27" s="82"/>
      <c r="F27" s="81" t="s">
        <v>12</v>
      </c>
      <c r="G27" s="83">
        <f>'03'!L65</f>
        <v>1183.08</v>
      </c>
      <c r="H27" s="222"/>
      <c r="I27" s="83"/>
      <c r="J27" s="77"/>
    </row>
    <row r="28" spans="1:10" ht="10.5">
      <c r="A28" s="76"/>
      <c r="B28" s="78" t="s">
        <v>111</v>
      </c>
      <c r="C28" s="190" t="s">
        <v>0</v>
      </c>
      <c r="D28" s="99" t="s">
        <v>105</v>
      </c>
      <c r="E28" s="82"/>
      <c r="F28" s="81" t="s">
        <v>12</v>
      </c>
      <c r="G28" s="83">
        <f>'03'!N65-'03'!L65</f>
        <v>661.45</v>
      </c>
      <c r="H28" s="222"/>
      <c r="I28" s="83"/>
      <c r="J28" s="77"/>
    </row>
    <row r="29" spans="1:10" ht="10.5">
      <c r="A29" s="76"/>
      <c r="B29" s="78" t="s">
        <v>112</v>
      </c>
      <c r="C29" s="190" t="s">
        <v>0</v>
      </c>
      <c r="D29" s="99" t="s">
        <v>107</v>
      </c>
      <c r="E29" s="82"/>
      <c r="F29" s="81" t="s">
        <v>12</v>
      </c>
      <c r="G29" s="83">
        <f>'03'!P65</f>
        <v>3209.48</v>
      </c>
      <c r="H29" s="222"/>
      <c r="I29" s="83"/>
      <c r="J29" s="77"/>
    </row>
    <row r="30" spans="1:10" ht="3.75" customHeight="1">
      <c r="A30" s="76"/>
      <c r="B30" s="78"/>
      <c r="C30" s="78"/>
      <c r="D30" s="78"/>
      <c r="E30" s="78"/>
      <c r="F30" s="81"/>
      <c r="G30" s="78"/>
      <c r="H30" s="223"/>
      <c r="I30" s="87"/>
      <c r="J30" s="77"/>
    </row>
    <row r="31" spans="1:10" ht="14.25" customHeight="1">
      <c r="A31" s="76"/>
      <c r="B31" s="73" t="s">
        <v>113</v>
      </c>
      <c r="C31" s="191" t="s">
        <v>0</v>
      </c>
      <c r="D31" s="73" t="s">
        <v>114</v>
      </c>
      <c r="E31" s="73"/>
      <c r="F31" s="74"/>
      <c r="G31" s="192"/>
      <c r="H31" s="224" t="s">
        <v>12</v>
      </c>
      <c r="I31" s="210">
        <f>SUM(G27:G30)</f>
        <v>5054.01</v>
      </c>
      <c r="J31" s="77"/>
    </row>
    <row r="32" spans="1:10" ht="13.5" customHeight="1">
      <c r="A32" s="76"/>
      <c r="B32" s="78"/>
      <c r="C32" s="78"/>
      <c r="D32" s="78"/>
      <c r="E32" s="78"/>
      <c r="F32" s="81"/>
      <c r="G32" s="78"/>
      <c r="H32" s="221"/>
      <c r="I32" s="78"/>
      <c r="J32" s="77"/>
    </row>
    <row r="33" spans="1:10" ht="10.5" customHeight="1">
      <c r="A33" s="76"/>
      <c r="B33" s="78"/>
      <c r="C33" s="78"/>
      <c r="D33" s="84" t="s">
        <v>290</v>
      </c>
      <c r="E33" s="78"/>
      <c r="F33" s="81"/>
      <c r="G33" s="78"/>
      <c r="H33" s="221"/>
      <c r="I33" s="78"/>
      <c r="J33" s="77"/>
    </row>
    <row r="34" spans="1:10" ht="10.5">
      <c r="A34" s="76"/>
      <c r="B34" s="78" t="s">
        <v>115</v>
      </c>
      <c r="C34" s="190" t="s">
        <v>0</v>
      </c>
      <c r="D34" s="99" t="s">
        <v>103</v>
      </c>
      <c r="E34" s="82"/>
      <c r="F34" s="81" t="s">
        <v>12</v>
      </c>
      <c r="G34" s="83">
        <f>'04'!C20</f>
        <v>2.71</v>
      </c>
      <c r="H34" s="222"/>
      <c r="I34" s="83"/>
      <c r="J34" s="77"/>
    </row>
    <row r="35" spans="1:10" ht="10.5">
      <c r="A35" s="76"/>
      <c r="B35" s="78" t="s">
        <v>116</v>
      </c>
      <c r="C35" s="190" t="s">
        <v>0</v>
      </c>
      <c r="D35" s="99" t="s">
        <v>105</v>
      </c>
      <c r="E35" s="82"/>
      <c r="F35" s="81" t="s">
        <v>12</v>
      </c>
      <c r="G35" s="83">
        <f>'04'!E20-'04'!C20</f>
        <v>1.06</v>
      </c>
      <c r="H35" s="222"/>
      <c r="I35" s="83"/>
      <c r="J35" s="77"/>
    </row>
    <row r="36" spans="1:10" ht="10.5">
      <c r="A36" s="76"/>
      <c r="B36" s="78" t="s">
        <v>117</v>
      </c>
      <c r="C36" s="190" t="s">
        <v>0</v>
      </c>
      <c r="D36" s="99" t="s">
        <v>107</v>
      </c>
      <c r="E36" s="82"/>
      <c r="F36" s="81" t="s">
        <v>12</v>
      </c>
      <c r="G36" s="83">
        <f>'04'!G20</f>
        <v>6.56</v>
      </c>
      <c r="H36" s="222"/>
      <c r="I36" s="83"/>
      <c r="J36" s="77"/>
    </row>
    <row r="37" spans="1:10" ht="3.75" customHeight="1">
      <c r="A37" s="76"/>
      <c r="B37" s="78"/>
      <c r="C37" s="78"/>
      <c r="D37" s="78"/>
      <c r="E37" s="78"/>
      <c r="F37" s="81"/>
      <c r="G37" s="78"/>
      <c r="H37" s="223"/>
      <c r="I37" s="87"/>
      <c r="J37" s="77"/>
    </row>
    <row r="38" spans="1:10" ht="14.25" customHeight="1">
      <c r="A38" s="76"/>
      <c r="B38" s="73" t="s">
        <v>118</v>
      </c>
      <c r="C38" s="191" t="s">
        <v>0</v>
      </c>
      <c r="D38" s="73" t="s">
        <v>119</v>
      </c>
      <c r="E38" s="73"/>
      <c r="F38" s="74"/>
      <c r="G38" s="192"/>
      <c r="H38" s="224" t="s">
        <v>12</v>
      </c>
      <c r="I38" s="210">
        <f>SUM(G34:G37)</f>
        <v>10.33</v>
      </c>
      <c r="J38" s="77"/>
    </row>
    <row r="39" spans="1:10" ht="14.25" customHeight="1">
      <c r="A39" s="76"/>
      <c r="B39" s="78"/>
      <c r="C39" s="190"/>
      <c r="D39" s="78"/>
      <c r="E39" s="78"/>
      <c r="F39" s="81"/>
      <c r="G39" s="4"/>
      <c r="H39" s="224"/>
      <c r="I39" s="210"/>
      <c r="J39" s="77"/>
    </row>
    <row r="40" spans="1:10" ht="10.5" customHeight="1">
      <c r="A40" s="76"/>
      <c r="B40" s="78"/>
      <c r="C40" s="78"/>
      <c r="D40" s="84" t="s">
        <v>291</v>
      </c>
      <c r="E40" s="78"/>
      <c r="F40" s="81"/>
      <c r="G40" s="78"/>
      <c r="H40" s="221"/>
      <c r="I40" s="78"/>
      <c r="J40" s="77"/>
    </row>
    <row r="41" spans="1:10" ht="10.5">
      <c r="A41" s="76"/>
      <c r="B41" s="78" t="s">
        <v>120</v>
      </c>
      <c r="C41" s="190" t="s">
        <v>0</v>
      </c>
      <c r="D41" s="99" t="s">
        <v>103</v>
      </c>
      <c r="E41" s="82"/>
      <c r="F41" s="81" t="s">
        <v>12</v>
      </c>
      <c r="G41" s="83">
        <f>'05'!H58</f>
        <v>9138.32</v>
      </c>
      <c r="H41" s="222"/>
      <c r="I41" s="83"/>
      <c r="J41" s="77"/>
    </row>
    <row r="42" spans="1:10" ht="10.5">
      <c r="A42" s="76"/>
      <c r="B42" s="78" t="s">
        <v>292</v>
      </c>
      <c r="C42" s="190" t="s">
        <v>0</v>
      </c>
      <c r="D42" s="99" t="s">
        <v>105</v>
      </c>
      <c r="E42" s="82"/>
      <c r="F42" s="81" t="s">
        <v>12</v>
      </c>
      <c r="G42" s="83">
        <f>'05'!J58-'05'!H58</f>
        <v>822.7</v>
      </c>
      <c r="H42" s="222"/>
      <c r="I42" s="83"/>
      <c r="J42" s="77"/>
    </row>
    <row r="43" spans="1:10" ht="10.5">
      <c r="A43" s="76"/>
      <c r="B43" s="78" t="s">
        <v>293</v>
      </c>
      <c r="C43" s="190" t="s">
        <v>0</v>
      </c>
      <c r="D43" s="99" t="s">
        <v>107</v>
      </c>
      <c r="E43" s="82"/>
      <c r="F43" s="81" t="s">
        <v>12</v>
      </c>
      <c r="G43" s="83">
        <f>'05'!L58</f>
        <v>9017.87</v>
      </c>
      <c r="H43" s="222"/>
      <c r="I43" s="83"/>
      <c r="J43" s="77"/>
    </row>
    <row r="44" spans="1:10" ht="3.75" customHeight="1">
      <c r="A44" s="76"/>
      <c r="B44" s="78"/>
      <c r="C44" s="78"/>
      <c r="D44" s="78"/>
      <c r="E44" s="78"/>
      <c r="F44" s="81"/>
      <c r="G44" s="78"/>
      <c r="H44" s="223"/>
      <c r="I44" s="87"/>
      <c r="J44" s="77"/>
    </row>
    <row r="45" spans="1:10" ht="14.25" customHeight="1">
      <c r="A45" s="76"/>
      <c r="B45" s="73" t="s">
        <v>294</v>
      </c>
      <c r="C45" s="191" t="s">
        <v>0</v>
      </c>
      <c r="D45" s="73" t="s">
        <v>119</v>
      </c>
      <c r="E45" s="73"/>
      <c r="F45" s="74"/>
      <c r="G45" s="192"/>
      <c r="H45" s="224" t="s">
        <v>12</v>
      </c>
      <c r="I45" s="210">
        <f>SUM(G41:G44)</f>
        <v>18978.89</v>
      </c>
      <c r="J45" s="77"/>
    </row>
    <row r="46" spans="1:10" ht="14.25" customHeight="1">
      <c r="A46" s="76"/>
      <c r="B46" s="78"/>
      <c r="C46" s="190"/>
      <c r="D46" s="78"/>
      <c r="E46" s="78"/>
      <c r="F46" s="81"/>
      <c r="G46" s="4"/>
      <c r="H46" s="224"/>
      <c r="I46" s="210"/>
      <c r="J46" s="77"/>
    </row>
    <row r="47" spans="1:10" s="85" customFormat="1" ht="18" customHeight="1">
      <c r="A47" s="193"/>
      <c r="B47" s="194" t="s">
        <v>295</v>
      </c>
      <c r="C47" s="195" t="s">
        <v>0</v>
      </c>
      <c r="D47" s="194" t="s">
        <v>121</v>
      </c>
      <c r="E47" s="196"/>
      <c r="F47" s="197"/>
      <c r="G47" s="196"/>
      <c r="H47" s="220" t="s">
        <v>12</v>
      </c>
      <c r="I47" s="198">
        <f>SUM(I19:I46)</f>
        <v>1058637.63</v>
      </c>
      <c r="J47" s="199"/>
    </row>
    <row r="48" spans="1:10" ht="10.5">
      <c r="A48" s="76"/>
      <c r="B48" s="78"/>
      <c r="C48" s="78"/>
      <c r="D48" s="100" t="s">
        <v>296</v>
      </c>
      <c r="E48" s="78"/>
      <c r="F48" s="81"/>
      <c r="G48" s="153"/>
      <c r="H48" s="221" t="s">
        <v>12</v>
      </c>
      <c r="I48" s="153">
        <f>'10'!G65</f>
        <v>221.96</v>
      </c>
      <c r="J48" s="77"/>
    </row>
    <row r="49" spans="1:10" ht="10.5">
      <c r="A49" s="76"/>
      <c r="B49" s="78"/>
      <c r="C49" s="78"/>
      <c r="D49" s="100" t="s">
        <v>297</v>
      </c>
      <c r="E49" s="78"/>
      <c r="F49" s="81"/>
      <c r="G49" s="153"/>
      <c r="H49" s="221" t="str">
        <f>H51</f>
        <v>$</v>
      </c>
      <c r="I49" s="153">
        <v>0</v>
      </c>
      <c r="J49" s="77"/>
    </row>
    <row r="50" spans="1:10" ht="7.5" customHeight="1">
      <c r="A50" s="76"/>
      <c r="B50" s="78"/>
      <c r="C50" s="78"/>
      <c r="D50" s="154"/>
      <c r="E50" s="87"/>
      <c r="F50" s="88"/>
      <c r="G50" s="87"/>
      <c r="H50" s="223"/>
      <c r="I50" s="87"/>
      <c r="J50" s="77"/>
    </row>
    <row r="51" spans="1:10" s="218" customFormat="1" ht="19.5" customHeight="1">
      <c r="A51" s="211"/>
      <c r="B51" s="212"/>
      <c r="C51" s="212"/>
      <c r="D51" s="212" t="s">
        <v>298</v>
      </c>
      <c r="E51" s="213">
        <v>41944</v>
      </c>
      <c r="F51" s="214" t="s">
        <v>122</v>
      </c>
      <c r="G51" s="215"/>
      <c r="H51" s="225" t="s">
        <v>12</v>
      </c>
      <c r="I51" s="216">
        <f>I47-I48-I49</f>
        <v>1058415.67</v>
      </c>
      <c r="J51" s="217"/>
    </row>
    <row r="52" spans="1:10" ht="13.5" customHeight="1">
      <c r="A52" s="76"/>
      <c r="B52" s="78"/>
      <c r="C52" s="78"/>
      <c r="D52" s="78"/>
      <c r="E52" s="78"/>
      <c r="F52" s="81"/>
      <c r="G52" s="78"/>
      <c r="H52" s="221"/>
      <c r="I52" s="78"/>
      <c r="J52" s="77"/>
    </row>
    <row r="53" spans="1:10" ht="8.25" customHeight="1">
      <c r="A53" s="76"/>
      <c r="B53" s="78"/>
      <c r="C53" s="78"/>
      <c r="D53" s="78"/>
      <c r="E53" s="78"/>
      <c r="F53" s="81"/>
      <c r="G53" s="78"/>
      <c r="H53" s="221"/>
      <c r="I53" s="78"/>
      <c r="J53" s="77"/>
    </row>
    <row r="54" spans="1:10" ht="11.25" customHeight="1">
      <c r="A54" s="76"/>
      <c r="B54" s="99" t="s">
        <v>299</v>
      </c>
      <c r="C54" s="78"/>
      <c r="E54" s="99"/>
      <c r="F54" s="81"/>
      <c r="G54" s="5"/>
      <c r="H54" s="224"/>
      <c r="I54" s="5"/>
      <c r="J54" s="77"/>
    </row>
    <row r="55" spans="1:10" ht="11.25" customHeight="1">
      <c r="A55" s="76"/>
      <c r="B55" s="78"/>
      <c r="C55" s="78"/>
      <c r="D55" s="99" t="s">
        <v>300</v>
      </c>
      <c r="E55" s="200">
        <f>'10'!H65</f>
        <v>1658.79</v>
      </c>
      <c r="F55" s="81"/>
      <c r="G55" s="5"/>
      <c r="H55" s="224"/>
      <c r="I55" s="5"/>
      <c r="J55" s="77"/>
    </row>
    <row r="56" spans="1:10" ht="6" customHeight="1">
      <c r="A56" s="76"/>
      <c r="B56" s="78"/>
      <c r="C56" s="78"/>
      <c r="D56" s="82"/>
      <c r="E56" s="201"/>
      <c r="F56" s="81"/>
      <c r="G56" s="5"/>
      <c r="H56" s="224"/>
      <c r="I56" s="5"/>
      <c r="J56" s="77"/>
    </row>
    <row r="57" spans="1:10" ht="11.25" customHeight="1">
      <c r="A57" s="76"/>
      <c r="B57" s="78"/>
      <c r="C57" s="78"/>
      <c r="D57" s="99" t="s">
        <v>176</v>
      </c>
      <c r="E57" s="202">
        <f>I48</f>
        <v>221.96</v>
      </c>
      <c r="F57" s="81"/>
      <c r="G57" s="5"/>
      <c r="H57" s="224"/>
      <c r="I57" s="5"/>
      <c r="J57" s="77"/>
    </row>
    <row r="58" spans="1:10" ht="11.25" customHeight="1">
      <c r="A58" s="76"/>
      <c r="B58" s="78"/>
      <c r="C58" s="78"/>
      <c r="D58" s="99" t="s">
        <v>177</v>
      </c>
      <c r="E58" s="202">
        <f>E55*20%</f>
        <v>331.76</v>
      </c>
      <c r="F58" s="81"/>
      <c r="G58" s="5"/>
      <c r="H58" s="224"/>
      <c r="I58" s="5"/>
      <c r="J58" s="77"/>
    </row>
    <row r="59" spans="1:10" ht="11.25" customHeight="1">
      <c r="A59" s="76"/>
      <c r="B59" s="78"/>
      <c r="C59" s="78"/>
      <c r="D59" s="99" t="s">
        <v>175</v>
      </c>
      <c r="E59" s="202">
        <f>E55*3%</f>
        <v>49.76</v>
      </c>
      <c r="F59" s="81"/>
      <c r="G59" s="5"/>
      <c r="H59" s="224"/>
      <c r="I59" s="5"/>
      <c r="J59" s="77"/>
    </row>
    <row r="60" spans="1:10" ht="11.25" customHeight="1">
      <c r="A60" s="76"/>
      <c r="B60" s="78"/>
      <c r="C60" s="78"/>
      <c r="D60" s="99" t="s">
        <v>123</v>
      </c>
      <c r="E60" s="203">
        <v>0</v>
      </c>
      <c r="F60" s="81"/>
      <c r="G60" s="5"/>
      <c r="H60" s="224"/>
      <c r="I60" s="5"/>
      <c r="J60" s="77"/>
    </row>
    <row r="61" spans="1:10" ht="11.25" customHeight="1">
      <c r="A61" s="76"/>
      <c r="B61" s="78"/>
      <c r="C61" s="78"/>
      <c r="D61" s="99" t="s">
        <v>178</v>
      </c>
      <c r="E61" s="204">
        <f>SUM(E57:E60)</f>
        <v>603.48</v>
      </c>
      <c r="F61" s="81"/>
      <c r="G61" s="5"/>
      <c r="H61" s="224"/>
      <c r="I61" s="5"/>
      <c r="J61" s="77"/>
    </row>
    <row r="62" spans="1:10" ht="16.5" customHeight="1">
      <c r="A62" s="86"/>
      <c r="B62" s="87"/>
      <c r="C62" s="87"/>
      <c r="D62" s="87"/>
      <c r="E62" s="87"/>
      <c r="F62" s="88"/>
      <c r="G62" s="89"/>
      <c r="H62" s="226"/>
      <c r="I62" s="89"/>
      <c r="J62" s="90"/>
    </row>
    <row r="63" spans="6:9" ht="18.75" customHeight="1">
      <c r="F63" s="69"/>
      <c r="G63" s="18"/>
      <c r="H63" s="227"/>
      <c r="I63" s="18"/>
    </row>
    <row r="64" ht="10.5" hidden="1">
      <c r="F64" s="69"/>
    </row>
    <row r="65" spans="4:9" ht="10.5" hidden="1">
      <c r="D65" s="91"/>
      <c r="F65" s="69"/>
      <c r="G65" s="91"/>
      <c r="H65" s="227"/>
      <c r="I65" s="91"/>
    </row>
    <row r="66" spans="4:6" ht="10.5" hidden="1">
      <c r="D66" s="155"/>
      <c r="F66" s="69"/>
    </row>
    <row r="67" spans="4:7" ht="10.5">
      <c r="D67" s="232"/>
      <c r="E67" s="232"/>
      <c r="F67" s="232"/>
      <c r="G67" s="232" t="s">
        <v>373</v>
      </c>
    </row>
    <row r="68" spans="4:7" ht="12.75">
      <c r="D68" s="421"/>
      <c r="E68" s="232"/>
      <c r="F68" s="421" t="s">
        <v>374</v>
      </c>
      <c r="G68" s="232"/>
    </row>
    <row r="69" ht="13.5" customHeight="1"/>
  </sheetData>
  <sheetProtection/>
  <mergeCells count="1">
    <mergeCell ref="A6:J6"/>
  </mergeCells>
  <hyperlinks>
    <hyperlink ref="F68" r:id="rId1" display="www.sentenca.com.br"/>
  </hyperlinks>
  <printOptions/>
  <pageMargins left="0.7874015748031497" right="0.4724409448818898" top="0.8661417322834646" bottom="0.5905511811023623" header="0.31496062992125984" footer="0.31496062992125984"/>
  <pageSetup horizontalDpi="600" verticalDpi="600" orientation="portrait" paperSize="9" r:id="rId2"/>
  <headerFooter>
    <oddHeader>&amp;R
&amp;"Tahoma,Normal"&amp;8Anexo: 12
Folha 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PageLayoutView="0" workbookViewId="0" topLeftCell="A1">
      <selection activeCell="A1" sqref="A1:IV3"/>
    </sheetView>
  </sheetViews>
  <sheetFormatPr defaultColWidth="8.421875" defaultRowHeight="11.25" customHeight="1"/>
  <cols>
    <col min="1" max="1" width="9.28125" style="232" customWidth="1"/>
    <col min="2" max="2" width="10.57421875" style="233" customWidth="1"/>
    <col min="3" max="4" width="10.00390625" style="233" customWidth="1"/>
    <col min="5" max="5" width="10.7109375" style="337" customWidth="1"/>
    <col min="6" max="6" width="15.140625" style="232" customWidth="1"/>
    <col min="7" max="7" width="8.421875" style="136" customWidth="1"/>
    <col min="8" max="8" width="7.140625" style="136" customWidth="1"/>
    <col min="9" max="16384" width="8.421875" style="136" customWidth="1"/>
  </cols>
  <sheetData>
    <row r="1" spans="1:4" s="420" customFormat="1" ht="14.25" customHeight="1">
      <c r="A1" s="419" t="s">
        <v>372</v>
      </c>
      <c r="B1" s="419"/>
      <c r="C1" s="419"/>
      <c r="D1" s="419"/>
    </row>
    <row r="2" spans="3:6" ht="10.5" customHeight="1">
      <c r="C2" s="232"/>
      <c r="D2" s="232"/>
      <c r="E2" s="136"/>
      <c r="F2" s="136"/>
    </row>
    <row r="3" spans="3:6" ht="10.5" customHeight="1">
      <c r="C3" s="232"/>
      <c r="D3" s="232"/>
      <c r="E3" s="136"/>
      <c r="F3" s="136"/>
    </row>
    <row r="4" spans="1:6" ht="10.5" customHeight="1">
      <c r="A4" s="135" t="s">
        <v>182</v>
      </c>
      <c r="B4" s="135"/>
      <c r="C4" s="135"/>
      <c r="D4" s="135"/>
      <c r="E4" s="335"/>
      <c r="F4" s="135"/>
    </row>
    <row r="5" spans="1:6" s="235" customFormat="1" ht="10.5" customHeight="1">
      <c r="A5" s="234"/>
      <c r="B5" s="234"/>
      <c r="C5" s="234"/>
      <c r="D5" s="234"/>
      <c r="E5" s="338"/>
      <c r="F5" s="234"/>
    </row>
    <row r="6" spans="1:5" s="1" customFormat="1" ht="10.5" customHeight="1">
      <c r="A6" s="1" t="s">
        <v>367</v>
      </c>
      <c r="B6" s="181"/>
      <c r="C6" s="181"/>
      <c r="D6" s="181"/>
      <c r="E6" s="339"/>
    </row>
    <row r="7" spans="1:5" s="1" customFormat="1" ht="10.5" customHeight="1">
      <c r="A7" s="1" t="s">
        <v>368</v>
      </c>
      <c r="B7" s="181"/>
      <c r="C7" s="181"/>
      <c r="D7" s="181"/>
      <c r="E7" s="339"/>
    </row>
    <row r="8" spans="1:5" s="2" customFormat="1" ht="10.5" customHeight="1">
      <c r="A8" s="2" t="s">
        <v>375</v>
      </c>
      <c r="B8" s="422"/>
      <c r="C8" s="422"/>
      <c r="D8" s="422"/>
      <c r="E8" s="423"/>
    </row>
    <row r="9" spans="1:5" s="1" customFormat="1" ht="10.5" customHeight="1">
      <c r="A9" s="1" t="s">
        <v>362</v>
      </c>
      <c r="B9" s="181"/>
      <c r="C9" s="181"/>
      <c r="D9" s="181"/>
      <c r="E9" s="339"/>
    </row>
    <row r="10" spans="1:5" s="1" customFormat="1" ht="10.5" customHeight="1">
      <c r="A10" s="1" t="s">
        <v>361</v>
      </c>
      <c r="B10" s="181"/>
      <c r="C10" s="181"/>
      <c r="D10" s="181"/>
      <c r="E10" s="339"/>
    </row>
    <row r="11" spans="1:6" ht="15" customHeight="1" thickBot="1">
      <c r="A11" s="57"/>
      <c r="B11" s="97"/>
      <c r="C11" s="97"/>
      <c r="D11" s="97"/>
      <c r="E11" s="336"/>
      <c r="F11" s="57"/>
    </row>
    <row r="12" spans="1:6" s="235" customFormat="1" ht="11.25" customHeight="1" thickBot="1" thickTop="1">
      <c r="A12" s="236" t="s">
        <v>1</v>
      </c>
      <c r="B12" s="237" t="s">
        <v>2</v>
      </c>
      <c r="C12" s="8" t="s">
        <v>3</v>
      </c>
      <c r="D12" s="237" t="s">
        <v>4</v>
      </c>
      <c r="E12" s="340" t="s">
        <v>5</v>
      </c>
      <c r="F12" s="237" t="s">
        <v>6</v>
      </c>
    </row>
    <row r="13" spans="3:4" ht="11.25" customHeight="1" thickBot="1" thickTop="1">
      <c r="C13" s="1"/>
      <c r="D13" s="181"/>
    </row>
    <row r="14" spans="1:6" s="240" customFormat="1" ht="11.25" customHeight="1" thickTop="1">
      <c r="A14" s="238" t="s">
        <v>9</v>
      </c>
      <c r="B14" s="239" t="s">
        <v>10</v>
      </c>
      <c r="C14" s="34" t="s">
        <v>164</v>
      </c>
      <c r="D14" s="250" t="s">
        <v>10</v>
      </c>
      <c r="E14" s="341" t="s">
        <v>180</v>
      </c>
      <c r="F14" s="65" t="s">
        <v>10</v>
      </c>
    </row>
    <row r="15" spans="1:6" s="240" customFormat="1" ht="11.25" customHeight="1">
      <c r="A15" s="241"/>
      <c r="B15" s="242" t="s">
        <v>163</v>
      </c>
      <c r="C15" s="14" t="s">
        <v>61</v>
      </c>
      <c r="D15" s="251" t="s">
        <v>163</v>
      </c>
      <c r="E15" s="342" t="s">
        <v>273</v>
      </c>
      <c r="F15" s="66" t="s">
        <v>53</v>
      </c>
    </row>
    <row r="16" spans="1:6" s="240" customFormat="1" ht="11.25" customHeight="1">
      <c r="A16" s="241"/>
      <c r="B16" s="242" t="s">
        <v>369</v>
      </c>
      <c r="C16" s="14" t="s">
        <v>167</v>
      </c>
      <c r="D16" s="251" t="s">
        <v>183</v>
      </c>
      <c r="E16" s="342" t="s">
        <v>33</v>
      </c>
      <c r="F16" s="66" t="s">
        <v>183</v>
      </c>
    </row>
    <row r="17" spans="1:6" s="240" customFormat="1" ht="11.25" customHeight="1">
      <c r="A17" s="241"/>
      <c r="B17" s="66" t="s">
        <v>21</v>
      </c>
      <c r="C17" s="14" t="s">
        <v>165</v>
      </c>
      <c r="D17" s="251"/>
      <c r="E17" s="342" t="s">
        <v>370</v>
      </c>
      <c r="F17" s="66"/>
    </row>
    <row r="18" spans="1:6" s="240" customFormat="1" ht="11.25" customHeight="1">
      <c r="A18" s="241"/>
      <c r="B18" s="66" t="s">
        <v>219</v>
      </c>
      <c r="C18" s="14" t="s">
        <v>166</v>
      </c>
      <c r="D18" s="251"/>
      <c r="E18" s="342" t="s">
        <v>274</v>
      </c>
      <c r="F18" s="66"/>
    </row>
    <row r="19" spans="1:6" s="240" customFormat="1" ht="11.25" customHeight="1" thickBot="1">
      <c r="A19" s="243"/>
      <c r="B19" s="68"/>
      <c r="C19" s="35"/>
      <c r="D19" s="252"/>
      <c r="E19" s="343" t="s">
        <v>371</v>
      </c>
      <c r="F19" s="68" t="s">
        <v>181</v>
      </c>
    </row>
    <row r="20" spans="1:6" s="240" customFormat="1" ht="11.25" customHeight="1" thickTop="1">
      <c r="A20" s="244"/>
      <c r="B20" s="136"/>
      <c r="C20" s="16"/>
      <c r="D20" s="253"/>
      <c r="E20" s="344"/>
      <c r="F20" s="245"/>
    </row>
    <row r="21" spans="1:6" ht="10.5" customHeight="1">
      <c r="A21" s="132">
        <v>34790</v>
      </c>
      <c r="B21" s="246">
        <v>4.23</v>
      </c>
      <c r="C21" s="249">
        <v>1</v>
      </c>
      <c r="D21" s="254">
        <f>B21*C21</f>
        <v>4.23</v>
      </c>
      <c r="E21" s="316">
        <v>240</v>
      </c>
      <c r="F21" s="64">
        <f>D21*E21</f>
        <v>1015.2</v>
      </c>
    </row>
    <row r="22" spans="1:6" ht="10.5" customHeight="1">
      <c r="A22" s="132">
        <v>34820</v>
      </c>
      <c r="B22" s="246">
        <f>D21</f>
        <v>4.23</v>
      </c>
      <c r="C22" s="249">
        <v>1</v>
      </c>
      <c r="D22" s="254">
        <f aca="true" t="shared" si="0" ref="D22:D74">B22*C22</f>
        <v>4.23</v>
      </c>
      <c r="E22" s="316">
        <v>248</v>
      </c>
      <c r="F22" s="64">
        <f aca="true" t="shared" si="1" ref="F22:F85">D22*E22</f>
        <v>1049.04</v>
      </c>
    </row>
    <row r="23" spans="1:6" ht="10.5" customHeight="1">
      <c r="A23" s="132">
        <v>34851</v>
      </c>
      <c r="B23" s="246">
        <f aca="true" t="shared" si="2" ref="B23:B74">D22</f>
        <v>4.23</v>
      </c>
      <c r="C23" s="249">
        <v>1</v>
      </c>
      <c r="D23" s="254">
        <f t="shared" si="0"/>
        <v>4.23</v>
      </c>
      <c r="E23" s="316">
        <v>240</v>
      </c>
      <c r="F23" s="64">
        <f t="shared" si="1"/>
        <v>1015.2</v>
      </c>
    </row>
    <row r="24" spans="1:6" ht="10.5" customHeight="1">
      <c r="A24" s="132">
        <v>34881</v>
      </c>
      <c r="B24" s="246">
        <v>4.23</v>
      </c>
      <c r="C24" s="249">
        <v>1.024</v>
      </c>
      <c r="D24" s="254">
        <f t="shared" si="0"/>
        <v>4.33</v>
      </c>
      <c r="E24" s="316">
        <v>248</v>
      </c>
      <c r="F24" s="64">
        <f t="shared" si="1"/>
        <v>1073.84</v>
      </c>
    </row>
    <row r="25" spans="1:6" ht="10.5" customHeight="1">
      <c r="A25" s="132">
        <v>34912</v>
      </c>
      <c r="B25" s="246">
        <f t="shared" si="2"/>
        <v>4.33</v>
      </c>
      <c r="C25" s="249">
        <v>1</v>
      </c>
      <c r="D25" s="254">
        <f t="shared" si="0"/>
        <v>4.33</v>
      </c>
      <c r="E25" s="316">
        <v>248</v>
      </c>
      <c r="F25" s="64">
        <f t="shared" si="1"/>
        <v>1073.84</v>
      </c>
    </row>
    <row r="26" spans="1:6" ht="10.5" customHeight="1">
      <c r="A26" s="132">
        <v>34943</v>
      </c>
      <c r="B26" s="246">
        <v>4.52</v>
      </c>
      <c r="C26" s="249">
        <v>1</v>
      </c>
      <c r="D26" s="254">
        <f t="shared" si="0"/>
        <v>4.52</v>
      </c>
      <c r="E26" s="316">
        <v>240</v>
      </c>
      <c r="F26" s="64">
        <f t="shared" si="1"/>
        <v>1084.8</v>
      </c>
    </row>
    <row r="27" spans="1:6" ht="10.5" customHeight="1">
      <c r="A27" s="132">
        <v>34973</v>
      </c>
      <c r="B27" s="246">
        <f t="shared" si="2"/>
        <v>4.52</v>
      </c>
      <c r="C27" s="249">
        <v>1</v>
      </c>
      <c r="D27" s="254">
        <f t="shared" si="0"/>
        <v>4.52</v>
      </c>
      <c r="E27" s="316">
        <v>248</v>
      </c>
      <c r="F27" s="64">
        <f t="shared" si="1"/>
        <v>1120.96</v>
      </c>
    </row>
    <row r="28" spans="1:6" ht="10.5" customHeight="1">
      <c r="A28" s="132">
        <v>35004</v>
      </c>
      <c r="B28" s="246">
        <v>4.52</v>
      </c>
      <c r="C28" s="249">
        <v>1.03</v>
      </c>
      <c r="D28" s="254">
        <f t="shared" si="0"/>
        <v>4.66</v>
      </c>
      <c r="E28" s="316">
        <v>240</v>
      </c>
      <c r="F28" s="64">
        <f t="shared" si="1"/>
        <v>1118.4</v>
      </c>
    </row>
    <row r="29" spans="1:6" ht="10.5" customHeight="1">
      <c r="A29" s="132">
        <v>35034</v>
      </c>
      <c r="B29" s="246">
        <f t="shared" si="2"/>
        <v>4.66</v>
      </c>
      <c r="C29" s="249">
        <v>1</v>
      </c>
      <c r="D29" s="254">
        <f t="shared" si="0"/>
        <v>4.66</v>
      </c>
      <c r="E29" s="316">
        <v>248</v>
      </c>
      <c r="F29" s="64">
        <f t="shared" si="1"/>
        <v>1155.68</v>
      </c>
    </row>
    <row r="30" spans="1:6" ht="10.5" customHeight="1">
      <c r="A30" s="132">
        <v>35065</v>
      </c>
      <c r="B30" s="246">
        <v>4.66</v>
      </c>
      <c r="C30" s="249">
        <v>1.046</v>
      </c>
      <c r="D30" s="254">
        <f t="shared" si="0"/>
        <v>4.87</v>
      </c>
      <c r="E30" s="316">
        <v>248</v>
      </c>
      <c r="F30" s="64">
        <f t="shared" si="1"/>
        <v>1207.76</v>
      </c>
    </row>
    <row r="31" spans="1:6" ht="10.5" customHeight="1">
      <c r="A31" s="132">
        <v>35096</v>
      </c>
      <c r="B31" s="246">
        <f t="shared" si="2"/>
        <v>4.87</v>
      </c>
      <c r="C31" s="249">
        <v>1</v>
      </c>
      <c r="D31" s="254">
        <f t="shared" si="0"/>
        <v>4.87</v>
      </c>
      <c r="E31" s="316">
        <v>232</v>
      </c>
      <c r="F31" s="64">
        <f t="shared" si="1"/>
        <v>1129.84</v>
      </c>
    </row>
    <row r="32" spans="1:6" ht="10.5" customHeight="1">
      <c r="A32" s="132">
        <v>35125</v>
      </c>
      <c r="B32" s="246">
        <f t="shared" si="2"/>
        <v>4.87</v>
      </c>
      <c r="C32" s="249">
        <v>1</v>
      </c>
      <c r="D32" s="254">
        <f t="shared" si="0"/>
        <v>4.87</v>
      </c>
      <c r="E32" s="316">
        <v>248</v>
      </c>
      <c r="F32" s="64">
        <f t="shared" si="1"/>
        <v>1207.76</v>
      </c>
    </row>
    <row r="33" spans="1:6" ht="10.5" customHeight="1">
      <c r="A33" s="132">
        <v>35156</v>
      </c>
      <c r="B33" s="246">
        <f t="shared" si="2"/>
        <v>4.87</v>
      </c>
      <c r="C33" s="249">
        <v>1</v>
      </c>
      <c r="D33" s="254">
        <f t="shared" si="0"/>
        <v>4.87</v>
      </c>
      <c r="E33" s="316">
        <v>240</v>
      </c>
      <c r="F33" s="64">
        <f t="shared" si="1"/>
        <v>1168.8</v>
      </c>
    </row>
    <row r="34" spans="1:6" ht="10.5" customHeight="1">
      <c r="A34" s="132">
        <v>35186</v>
      </c>
      <c r="B34" s="246">
        <f t="shared" si="2"/>
        <v>4.87</v>
      </c>
      <c r="C34" s="249">
        <v>1</v>
      </c>
      <c r="D34" s="254">
        <f t="shared" si="0"/>
        <v>4.87</v>
      </c>
      <c r="E34" s="316">
        <v>248</v>
      </c>
      <c r="F34" s="64">
        <f t="shared" si="1"/>
        <v>1207.76</v>
      </c>
    </row>
    <row r="35" spans="1:6" ht="10.5" customHeight="1">
      <c r="A35" s="132">
        <v>35217</v>
      </c>
      <c r="B35" s="246">
        <f t="shared" si="2"/>
        <v>4.87</v>
      </c>
      <c r="C35" s="249">
        <v>1</v>
      </c>
      <c r="D35" s="254">
        <f t="shared" si="0"/>
        <v>4.87</v>
      </c>
      <c r="E35" s="316">
        <v>240</v>
      </c>
      <c r="F35" s="64">
        <f t="shared" si="1"/>
        <v>1168.8</v>
      </c>
    </row>
    <row r="36" spans="1:6" ht="10.5" customHeight="1">
      <c r="A36" s="132">
        <v>35247</v>
      </c>
      <c r="B36" s="246">
        <f t="shared" si="2"/>
        <v>4.87</v>
      </c>
      <c r="C36" s="249">
        <v>1</v>
      </c>
      <c r="D36" s="254">
        <f t="shared" si="0"/>
        <v>4.87</v>
      </c>
      <c r="E36" s="316">
        <v>248</v>
      </c>
      <c r="F36" s="64">
        <f t="shared" si="1"/>
        <v>1207.76</v>
      </c>
    </row>
    <row r="37" spans="1:6" s="182" customFormat="1" ht="10.5" customHeight="1">
      <c r="A37" s="132">
        <v>35278</v>
      </c>
      <c r="B37" s="246">
        <f t="shared" si="2"/>
        <v>4.87</v>
      </c>
      <c r="C37" s="249">
        <v>1</v>
      </c>
      <c r="D37" s="254">
        <f t="shared" si="0"/>
        <v>4.87</v>
      </c>
      <c r="E37" s="316">
        <v>248</v>
      </c>
      <c r="F37" s="64">
        <f t="shared" si="1"/>
        <v>1207.76</v>
      </c>
    </row>
    <row r="38" spans="1:6" ht="10.5" customHeight="1">
      <c r="A38" s="132">
        <v>35309</v>
      </c>
      <c r="B38" s="246">
        <f t="shared" si="2"/>
        <v>4.87</v>
      </c>
      <c r="C38" s="249">
        <v>1</v>
      </c>
      <c r="D38" s="254">
        <f t="shared" si="0"/>
        <v>4.87</v>
      </c>
      <c r="E38" s="316">
        <v>240</v>
      </c>
      <c r="F38" s="64">
        <f t="shared" si="1"/>
        <v>1168.8</v>
      </c>
    </row>
    <row r="39" spans="1:10" ht="10.5" customHeight="1">
      <c r="A39" s="132">
        <v>35339</v>
      </c>
      <c r="B39" s="246">
        <f t="shared" si="2"/>
        <v>4.87</v>
      </c>
      <c r="C39" s="249">
        <v>1</v>
      </c>
      <c r="D39" s="254">
        <f t="shared" si="0"/>
        <v>4.87</v>
      </c>
      <c r="E39" s="316">
        <v>248</v>
      </c>
      <c r="F39" s="64">
        <f t="shared" si="1"/>
        <v>1207.76</v>
      </c>
      <c r="J39" s="311"/>
    </row>
    <row r="40" spans="1:6" ht="10.5" customHeight="1">
      <c r="A40" s="132">
        <v>35370</v>
      </c>
      <c r="B40" s="246">
        <f t="shared" si="2"/>
        <v>4.87</v>
      </c>
      <c r="C40" s="249">
        <v>1</v>
      </c>
      <c r="D40" s="254">
        <f t="shared" si="0"/>
        <v>4.87</v>
      </c>
      <c r="E40" s="316">
        <v>240</v>
      </c>
      <c r="F40" s="64">
        <f t="shared" si="1"/>
        <v>1168.8</v>
      </c>
    </row>
    <row r="41" spans="1:6" ht="10.5" customHeight="1">
      <c r="A41" s="132">
        <v>35400</v>
      </c>
      <c r="B41" s="246">
        <f t="shared" si="2"/>
        <v>4.87</v>
      </c>
      <c r="C41" s="249">
        <v>1</v>
      </c>
      <c r="D41" s="254">
        <f t="shared" si="0"/>
        <v>4.87</v>
      </c>
      <c r="E41" s="316">
        <v>248</v>
      </c>
      <c r="F41" s="64">
        <f t="shared" si="1"/>
        <v>1207.76</v>
      </c>
    </row>
    <row r="42" spans="1:6" ht="10.5" customHeight="1">
      <c r="A42" s="132">
        <v>35431</v>
      </c>
      <c r="B42" s="246">
        <v>4.87</v>
      </c>
      <c r="C42" s="249">
        <v>1.1</v>
      </c>
      <c r="D42" s="254">
        <f t="shared" si="0"/>
        <v>5.36</v>
      </c>
      <c r="E42" s="316">
        <v>248</v>
      </c>
      <c r="F42" s="64">
        <f t="shared" si="1"/>
        <v>1329.28</v>
      </c>
    </row>
    <row r="43" spans="1:6" ht="10.5" customHeight="1">
      <c r="A43" s="132">
        <v>35462</v>
      </c>
      <c r="B43" s="246">
        <f t="shared" si="2"/>
        <v>5.36</v>
      </c>
      <c r="C43" s="249">
        <v>1</v>
      </c>
      <c r="D43" s="254">
        <f t="shared" si="0"/>
        <v>5.36</v>
      </c>
      <c r="E43" s="316">
        <v>224</v>
      </c>
      <c r="F43" s="64">
        <f t="shared" si="1"/>
        <v>1200.64</v>
      </c>
    </row>
    <row r="44" spans="1:6" ht="10.5" customHeight="1">
      <c r="A44" s="132">
        <v>35490</v>
      </c>
      <c r="B44" s="246">
        <f t="shared" si="2"/>
        <v>5.36</v>
      </c>
      <c r="C44" s="249">
        <v>1</v>
      </c>
      <c r="D44" s="254">
        <f t="shared" si="0"/>
        <v>5.36</v>
      </c>
      <c r="E44" s="316">
        <v>248</v>
      </c>
      <c r="F44" s="64">
        <f t="shared" si="1"/>
        <v>1329.28</v>
      </c>
    </row>
    <row r="45" spans="1:6" ht="10.5" customHeight="1">
      <c r="A45" s="132">
        <v>35521</v>
      </c>
      <c r="B45" s="246">
        <f t="shared" si="2"/>
        <v>5.36</v>
      </c>
      <c r="C45" s="249">
        <v>1</v>
      </c>
      <c r="D45" s="254">
        <f t="shared" si="0"/>
        <v>5.36</v>
      </c>
      <c r="E45" s="316">
        <v>240</v>
      </c>
      <c r="F45" s="64">
        <f t="shared" si="1"/>
        <v>1286.4</v>
      </c>
    </row>
    <row r="46" spans="1:6" ht="10.5" customHeight="1">
      <c r="A46" s="132">
        <v>35551</v>
      </c>
      <c r="B46" s="246">
        <f t="shared" si="2"/>
        <v>5.36</v>
      </c>
      <c r="C46" s="249">
        <v>1</v>
      </c>
      <c r="D46" s="254">
        <f t="shared" si="0"/>
        <v>5.36</v>
      </c>
      <c r="E46" s="316">
        <v>248</v>
      </c>
      <c r="F46" s="64">
        <f t="shared" si="1"/>
        <v>1329.28</v>
      </c>
    </row>
    <row r="47" spans="1:6" ht="10.5" customHeight="1">
      <c r="A47" s="132">
        <v>35582</v>
      </c>
      <c r="B47" s="246">
        <f t="shared" si="2"/>
        <v>5.36</v>
      </c>
      <c r="C47" s="249">
        <v>1</v>
      </c>
      <c r="D47" s="254">
        <f t="shared" si="0"/>
        <v>5.36</v>
      </c>
      <c r="E47" s="316">
        <v>240</v>
      </c>
      <c r="F47" s="64">
        <f t="shared" si="1"/>
        <v>1286.4</v>
      </c>
    </row>
    <row r="48" spans="1:6" ht="10.5" customHeight="1">
      <c r="A48" s="132">
        <v>35612</v>
      </c>
      <c r="B48" s="246">
        <f t="shared" si="2"/>
        <v>5.36</v>
      </c>
      <c r="C48" s="249">
        <v>1</v>
      </c>
      <c r="D48" s="254">
        <f t="shared" si="0"/>
        <v>5.36</v>
      </c>
      <c r="E48" s="316">
        <v>248</v>
      </c>
      <c r="F48" s="64">
        <f t="shared" si="1"/>
        <v>1329.28</v>
      </c>
    </row>
    <row r="49" spans="1:6" ht="10.5" customHeight="1">
      <c r="A49" s="132">
        <v>35643</v>
      </c>
      <c r="B49" s="246">
        <f t="shared" si="2"/>
        <v>5.36</v>
      </c>
      <c r="C49" s="249">
        <v>1</v>
      </c>
      <c r="D49" s="254">
        <f t="shared" si="0"/>
        <v>5.36</v>
      </c>
      <c r="E49" s="316">
        <v>248</v>
      </c>
      <c r="F49" s="64">
        <f t="shared" si="1"/>
        <v>1329.28</v>
      </c>
    </row>
    <row r="50" spans="1:6" ht="10.5" customHeight="1">
      <c r="A50" s="132">
        <v>35674</v>
      </c>
      <c r="B50" s="246">
        <f t="shared" si="2"/>
        <v>5.36</v>
      </c>
      <c r="C50" s="249">
        <v>1</v>
      </c>
      <c r="D50" s="254">
        <f t="shared" si="0"/>
        <v>5.36</v>
      </c>
      <c r="E50" s="316">
        <v>240</v>
      </c>
      <c r="F50" s="64">
        <f t="shared" si="1"/>
        <v>1286.4</v>
      </c>
    </row>
    <row r="51" spans="1:6" ht="10.5" customHeight="1">
      <c r="A51" s="132">
        <v>35704</v>
      </c>
      <c r="B51" s="246">
        <f t="shared" si="2"/>
        <v>5.36</v>
      </c>
      <c r="C51" s="249">
        <v>1</v>
      </c>
      <c r="D51" s="254">
        <f t="shared" si="0"/>
        <v>5.36</v>
      </c>
      <c r="E51" s="316">
        <v>248</v>
      </c>
      <c r="F51" s="64">
        <f t="shared" si="1"/>
        <v>1329.28</v>
      </c>
    </row>
    <row r="52" spans="1:6" ht="10.5" customHeight="1">
      <c r="A52" s="132">
        <v>35735</v>
      </c>
      <c r="B52" s="246">
        <v>5.36</v>
      </c>
      <c r="C52" s="249">
        <v>1.041</v>
      </c>
      <c r="D52" s="254">
        <f t="shared" si="0"/>
        <v>5.58</v>
      </c>
      <c r="E52" s="316">
        <v>240</v>
      </c>
      <c r="F52" s="64">
        <f t="shared" si="1"/>
        <v>1339.2</v>
      </c>
    </row>
    <row r="53" spans="1:6" ht="10.5" customHeight="1">
      <c r="A53" s="132">
        <v>35765</v>
      </c>
      <c r="B53" s="246">
        <f t="shared" si="2"/>
        <v>5.58</v>
      </c>
      <c r="C53" s="249">
        <v>1</v>
      </c>
      <c r="D53" s="254">
        <f t="shared" si="0"/>
        <v>5.58</v>
      </c>
      <c r="E53" s="316">
        <v>248</v>
      </c>
      <c r="F53" s="64">
        <f t="shared" si="1"/>
        <v>1383.84</v>
      </c>
    </row>
    <row r="54" spans="1:11" ht="10.5" customHeight="1">
      <c r="A54" s="132">
        <v>35796</v>
      </c>
      <c r="B54" s="246">
        <f t="shared" si="2"/>
        <v>5.58</v>
      </c>
      <c r="C54" s="249">
        <v>1</v>
      </c>
      <c r="D54" s="254">
        <f t="shared" si="0"/>
        <v>5.58</v>
      </c>
      <c r="E54" s="316">
        <v>248</v>
      </c>
      <c r="F54" s="64">
        <f t="shared" si="1"/>
        <v>1383.84</v>
      </c>
      <c r="G54" s="247"/>
      <c r="H54" s="247"/>
      <c r="I54" s="247"/>
      <c r="J54" s="247"/>
      <c r="K54" s="247"/>
    </row>
    <row r="55" spans="1:11" ht="10.5" customHeight="1">
      <c r="A55" s="132">
        <v>35827</v>
      </c>
      <c r="B55" s="246">
        <f t="shared" si="2"/>
        <v>5.58</v>
      </c>
      <c r="C55" s="249">
        <v>1</v>
      </c>
      <c r="D55" s="254">
        <f t="shared" si="0"/>
        <v>5.58</v>
      </c>
      <c r="E55" s="316">
        <v>224</v>
      </c>
      <c r="F55" s="64">
        <f t="shared" si="1"/>
        <v>1249.92</v>
      </c>
      <c r="G55" s="247"/>
      <c r="H55" s="247"/>
      <c r="I55" s="247"/>
      <c r="J55" s="247"/>
      <c r="K55" s="247"/>
    </row>
    <row r="56" spans="1:11" ht="10.5" customHeight="1">
      <c r="A56" s="132">
        <v>35855</v>
      </c>
      <c r="B56" s="246">
        <f t="shared" si="2"/>
        <v>5.58</v>
      </c>
      <c r="C56" s="249">
        <v>1</v>
      </c>
      <c r="D56" s="254">
        <f t="shared" si="0"/>
        <v>5.58</v>
      </c>
      <c r="E56" s="316">
        <v>248</v>
      </c>
      <c r="F56" s="64">
        <f t="shared" si="1"/>
        <v>1383.84</v>
      </c>
      <c r="G56" s="247"/>
      <c r="H56" s="247"/>
      <c r="I56" s="247"/>
      <c r="J56" s="247"/>
      <c r="K56" s="247"/>
    </row>
    <row r="57" spans="1:15" ht="10.5" customHeight="1">
      <c r="A57" s="132">
        <v>35886</v>
      </c>
      <c r="B57" s="246">
        <f t="shared" si="2"/>
        <v>5.58</v>
      </c>
      <c r="C57" s="249">
        <v>1</v>
      </c>
      <c r="D57" s="254">
        <f t="shared" si="0"/>
        <v>5.58</v>
      </c>
      <c r="E57" s="316">
        <v>240</v>
      </c>
      <c r="F57" s="64">
        <f t="shared" si="1"/>
        <v>1339.2</v>
      </c>
      <c r="I57" s="235"/>
      <c r="J57" s="235"/>
      <c r="K57" s="235"/>
      <c r="L57" s="235"/>
      <c r="M57" s="235"/>
      <c r="O57" s="248"/>
    </row>
    <row r="58" spans="1:6" ht="10.5" customHeight="1">
      <c r="A58" s="132">
        <v>35916</v>
      </c>
      <c r="B58" s="246">
        <f t="shared" si="2"/>
        <v>5.58</v>
      </c>
      <c r="C58" s="249">
        <v>1</v>
      </c>
      <c r="D58" s="254">
        <f t="shared" si="0"/>
        <v>5.58</v>
      </c>
      <c r="E58" s="316">
        <v>248</v>
      </c>
      <c r="F58" s="64">
        <f t="shared" si="1"/>
        <v>1383.84</v>
      </c>
    </row>
    <row r="59" spans="1:6" ht="10.5" customHeight="1">
      <c r="A59" s="132">
        <v>35947</v>
      </c>
      <c r="B59" s="246">
        <f t="shared" si="2"/>
        <v>5.58</v>
      </c>
      <c r="C59" s="249">
        <v>1</v>
      </c>
      <c r="D59" s="254">
        <f t="shared" si="0"/>
        <v>5.58</v>
      </c>
      <c r="E59" s="316">
        <v>240</v>
      </c>
      <c r="F59" s="64">
        <f t="shared" si="1"/>
        <v>1339.2</v>
      </c>
    </row>
    <row r="60" spans="1:10" ht="10.5" customHeight="1">
      <c r="A60" s="132">
        <v>35977</v>
      </c>
      <c r="B60" s="246">
        <f t="shared" si="2"/>
        <v>5.58</v>
      </c>
      <c r="C60" s="249">
        <v>1</v>
      </c>
      <c r="D60" s="254">
        <f t="shared" si="0"/>
        <v>5.58</v>
      </c>
      <c r="E60" s="316">
        <v>248</v>
      </c>
      <c r="F60" s="64">
        <f t="shared" si="1"/>
        <v>1383.84</v>
      </c>
      <c r="I60" s="235"/>
      <c r="J60" s="235"/>
    </row>
    <row r="61" spans="1:11" ht="10.5" customHeight="1">
      <c r="A61" s="132">
        <v>36008</v>
      </c>
      <c r="B61" s="246">
        <f t="shared" si="2"/>
        <v>5.58</v>
      </c>
      <c r="C61" s="249">
        <v>1</v>
      </c>
      <c r="D61" s="254">
        <f t="shared" si="0"/>
        <v>5.58</v>
      </c>
      <c r="E61" s="316">
        <v>248</v>
      </c>
      <c r="F61" s="64">
        <f t="shared" si="1"/>
        <v>1383.84</v>
      </c>
      <c r="I61" s="235"/>
      <c r="J61" s="235"/>
      <c r="K61" s="235"/>
    </row>
    <row r="62" spans="1:6" ht="10.5" customHeight="1">
      <c r="A62" s="132">
        <v>36039</v>
      </c>
      <c r="B62" s="246">
        <f t="shared" si="2"/>
        <v>5.58</v>
      </c>
      <c r="C62" s="249">
        <v>1</v>
      </c>
      <c r="D62" s="254">
        <f t="shared" si="0"/>
        <v>5.58</v>
      </c>
      <c r="E62" s="316">
        <v>240</v>
      </c>
      <c r="F62" s="64">
        <f t="shared" si="1"/>
        <v>1339.2</v>
      </c>
    </row>
    <row r="63" spans="1:6" ht="10.5" customHeight="1">
      <c r="A63" s="132">
        <v>36069</v>
      </c>
      <c r="B63" s="246">
        <f t="shared" si="2"/>
        <v>5.58</v>
      </c>
      <c r="C63" s="249">
        <v>1</v>
      </c>
      <c r="D63" s="254">
        <f t="shared" si="0"/>
        <v>5.58</v>
      </c>
      <c r="E63" s="316">
        <v>248</v>
      </c>
      <c r="F63" s="64">
        <f t="shared" si="1"/>
        <v>1383.84</v>
      </c>
    </row>
    <row r="64" spans="1:6" ht="10.5" customHeight="1">
      <c r="A64" s="132">
        <v>36100</v>
      </c>
      <c r="B64" s="246">
        <f t="shared" si="2"/>
        <v>5.58</v>
      </c>
      <c r="C64" s="249">
        <v>1.025</v>
      </c>
      <c r="D64" s="254">
        <f>B64*C64</f>
        <v>5.72</v>
      </c>
      <c r="E64" s="316">
        <v>240</v>
      </c>
      <c r="F64" s="64">
        <f t="shared" si="1"/>
        <v>1372.8</v>
      </c>
    </row>
    <row r="65" spans="1:6" ht="10.5" customHeight="1">
      <c r="A65" s="132">
        <v>36130</v>
      </c>
      <c r="B65" s="246">
        <f t="shared" si="2"/>
        <v>5.72</v>
      </c>
      <c r="C65" s="249">
        <v>1</v>
      </c>
      <c r="D65" s="254">
        <f t="shared" si="0"/>
        <v>5.72</v>
      </c>
      <c r="E65" s="316">
        <v>248</v>
      </c>
      <c r="F65" s="64">
        <f t="shared" si="1"/>
        <v>1418.56</v>
      </c>
    </row>
    <row r="66" spans="1:6" ht="10.5" customHeight="1">
      <c r="A66" s="132">
        <v>36161</v>
      </c>
      <c r="B66" s="246">
        <f t="shared" si="2"/>
        <v>5.72</v>
      </c>
      <c r="C66" s="249">
        <v>1</v>
      </c>
      <c r="D66" s="254">
        <f t="shared" si="0"/>
        <v>5.72</v>
      </c>
      <c r="E66" s="316">
        <v>248</v>
      </c>
      <c r="F66" s="64">
        <f t="shared" si="1"/>
        <v>1418.56</v>
      </c>
    </row>
    <row r="67" spans="1:6" ht="10.5" customHeight="1">
      <c r="A67" s="132">
        <v>36192</v>
      </c>
      <c r="B67" s="246">
        <f t="shared" si="2"/>
        <v>5.72</v>
      </c>
      <c r="C67" s="249">
        <v>1</v>
      </c>
      <c r="D67" s="254">
        <f t="shared" si="0"/>
        <v>5.72</v>
      </c>
      <c r="E67" s="316">
        <v>224</v>
      </c>
      <c r="F67" s="64">
        <f t="shared" si="1"/>
        <v>1281.28</v>
      </c>
    </row>
    <row r="68" spans="1:6" ht="10.5" customHeight="1">
      <c r="A68" s="132">
        <v>36220</v>
      </c>
      <c r="B68" s="246">
        <f t="shared" si="2"/>
        <v>5.72</v>
      </c>
      <c r="C68" s="249">
        <v>1</v>
      </c>
      <c r="D68" s="254">
        <f t="shared" si="0"/>
        <v>5.72</v>
      </c>
      <c r="E68" s="316">
        <v>248</v>
      </c>
      <c r="F68" s="64">
        <f t="shared" si="1"/>
        <v>1418.56</v>
      </c>
    </row>
    <row r="69" spans="1:6" ht="10.5" customHeight="1">
      <c r="A69" s="132">
        <v>36251</v>
      </c>
      <c r="B69" s="246">
        <f t="shared" si="2"/>
        <v>5.72</v>
      </c>
      <c r="C69" s="249">
        <v>1</v>
      </c>
      <c r="D69" s="254">
        <f t="shared" si="0"/>
        <v>5.72</v>
      </c>
      <c r="E69" s="316">
        <v>240</v>
      </c>
      <c r="F69" s="64">
        <f t="shared" si="1"/>
        <v>1372.8</v>
      </c>
    </row>
    <row r="70" spans="1:6" ht="10.5" customHeight="1">
      <c r="A70" s="132">
        <v>36281</v>
      </c>
      <c r="B70" s="246">
        <f t="shared" si="2"/>
        <v>5.72</v>
      </c>
      <c r="C70" s="249">
        <v>1</v>
      </c>
      <c r="D70" s="254">
        <f t="shared" si="0"/>
        <v>5.72</v>
      </c>
      <c r="E70" s="316">
        <v>248</v>
      </c>
      <c r="F70" s="64">
        <f t="shared" si="1"/>
        <v>1418.56</v>
      </c>
    </row>
    <row r="71" spans="1:6" ht="10.5" customHeight="1">
      <c r="A71" s="132">
        <v>36312</v>
      </c>
      <c r="B71" s="246">
        <f t="shared" si="2"/>
        <v>5.72</v>
      </c>
      <c r="C71" s="249">
        <v>1</v>
      </c>
      <c r="D71" s="254">
        <f t="shared" si="0"/>
        <v>5.72</v>
      </c>
      <c r="E71" s="316">
        <v>240</v>
      </c>
      <c r="F71" s="64">
        <f t="shared" si="1"/>
        <v>1372.8</v>
      </c>
    </row>
    <row r="72" spans="1:6" ht="10.5" customHeight="1">
      <c r="A72" s="132">
        <v>36342</v>
      </c>
      <c r="B72" s="246">
        <f t="shared" si="2"/>
        <v>5.72</v>
      </c>
      <c r="C72" s="249">
        <v>1</v>
      </c>
      <c r="D72" s="254">
        <f t="shared" si="0"/>
        <v>5.72</v>
      </c>
      <c r="E72" s="316">
        <v>248</v>
      </c>
      <c r="F72" s="64">
        <f t="shared" si="1"/>
        <v>1418.56</v>
      </c>
    </row>
    <row r="73" spans="1:6" ht="10.5" customHeight="1">
      <c r="A73" s="132">
        <v>36373</v>
      </c>
      <c r="B73" s="246">
        <f t="shared" si="2"/>
        <v>5.72</v>
      </c>
      <c r="C73" s="249">
        <v>1</v>
      </c>
      <c r="D73" s="254">
        <f t="shared" si="0"/>
        <v>5.72</v>
      </c>
      <c r="E73" s="316">
        <v>248</v>
      </c>
      <c r="F73" s="64">
        <f t="shared" si="1"/>
        <v>1418.56</v>
      </c>
    </row>
    <row r="74" spans="1:6" ht="10.5" customHeight="1">
      <c r="A74" s="132">
        <v>36404</v>
      </c>
      <c r="B74" s="246">
        <f t="shared" si="2"/>
        <v>5.72</v>
      </c>
      <c r="C74" s="249">
        <v>1</v>
      </c>
      <c r="D74" s="254">
        <f t="shared" si="0"/>
        <v>5.72</v>
      </c>
      <c r="E74" s="316">
        <v>240</v>
      </c>
      <c r="F74" s="64">
        <f t="shared" si="1"/>
        <v>1372.8</v>
      </c>
    </row>
    <row r="75" spans="1:6" ht="10.5" customHeight="1">
      <c r="A75" s="132">
        <v>36434</v>
      </c>
      <c r="B75" s="246">
        <f aca="true" t="shared" si="3" ref="B75:B83">D74</f>
        <v>5.72</v>
      </c>
      <c r="C75" s="249">
        <v>1</v>
      </c>
      <c r="D75" s="254">
        <f aca="true" t="shared" si="4" ref="D75:D83">B75*C75</f>
        <v>5.72</v>
      </c>
      <c r="E75" s="316">
        <v>248</v>
      </c>
      <c r="F75" s="64">
        <f t="shared" si="1"/>
        <v>1418.56</v>
      </c>
    </row>
    <row r="76" spans="1:6" ht="10.5" customHeight="1">
      <c r="A76" s="132">
        <v>36465</v>
      </c>
      <c r="B76" s="246">
        <f t="shared" si="3"/>
        <v>5.72</v>
      </c>
      <c r="C76" s="249">
        <v>1.048</v>
      </c>
      <c r="D76" s="254">
        <f t="shared" si="4"/>
        <v>5.99</v>
      </c>
      <c r="E76" s="316">
        <v>240</v>
      </c>
      <c r="F76" s="64">
        <f t="shared" si="1"/>
        <v>1437.6</v>
      </c>
    </row>
    <row r="77" spans="1:6" ht="10.5" customHeight="1">
      <c r="A77" s="132">
        <v>36495</v>
      </c>
      <c r="B77" s="246">
        <f t="shared" si="3"/>
        <v>5.99</v>
      </c>
      <c r="C77" s="249">
        <v>1</v>
      </c>
      <c r="D77" s="254">
        <f t="shared" si="4"/>
        <v>5.99</v>
      </c>
      <c r="E77" s="316">
        <v>248</v>
      </c>
      <c r="F77" s="64">
        <f t="shared" si="1"/>
        <v>1485.52</v>
      </c>
    </row>
    <row r="78" spans="1:6" ht="10.5" customHeight="1">
      <c r="A78" s="132">
        <v>36526</v>
      </c>
      <c r="B78" s="246">
        <f t="shared" si="3"/>
        <v>5.99</v>
      </c>
      <c r="C78" s="249">
        <v>1</v>
      </c>
      <c r="D78" s="254">
        <f t="shared" si="4"/>
        <v>5.99</v>
      </c>
      <c r="E78" s="316">
        <v>248</v>
      </c>
      <c r="F78" s="64">
        <f t="shared" si="1"/>
        <v>1485.52</v>
      </c>
    </row>
    <row r="79" spans="1:6" ht="10.5" customHeight="1">
      <c r="A79" s="132">
        <v>36557</v>
      </c>
      <c r="B79" s="246">
        <f t="shared" si="3"/>
        <v>5.99</v>
      </c>
      <c r="C79" s="249">
        <v>1</v>
      </c>
      <c r="D79" s="254">
        <f t="shared" si="4"/>
        <v>5.99</v>
      </c>
      <c r="E79" s="316">
        <v>232</v>
      </c>
      <c r="F79" s="64">
        <f t="shared" si="1"/>
        <v>1389.68</v>
      </c>
    </row>
    <row r="80" spans="1:6" ht="10.5" customHeight="1">
      <c r="A80" s="132">
        <v>36586</v>
      </c>
      <c r="B80" s="246">
        <f t="shared" si="3"/>
        <v>5.99</v>
      </c>
      <c r="C80" s="249">
        <v>1</v>
      </c>
      <c r="D80" s="254">
        <f t="shared" si="4"/>
        <v>5.99</v>
      </c>
      <c r="E80" s="316">
        <v>248</v>
      </c>
      <c r="F80" s="64">
        <f t="shared" si="1"/>
        <v>1485.52</v>
      </c>
    </row>
    <row r="81" spans="1:6" ht="10.5" customHeight="1">
      <c r="A81" s="132">
        <v>36617</v>
      </c>
      <c r="B81" s="246">
        <f t="shared" si="3"/>
        <v>5.99</v>
      </c>
      <c r="C81" s="249">
        <v>1</v>
      </c>
      <c r="D81" s="254">
        <f t="shared" si="4"/>
        <v>5.99</v>
      </c>
      <c r="E81" s="316">
        <v>240</v>
      </c>
      <c r="F81" s="64">
        <f t="shared" si="1"/>
        <v>1437.6</v>
      </c>
    </row>
    <row r="82" spans="1:6" ht="10.5" customHeight="1">
      <c r="A82" s="132">
        <v>36647</v>
      </c>
      <c r="B82" s="246">
        <f t="shared" si="3"/>
        <v>5.99</v>
      </c>
      <c r="C82" s="249">
        <v>1</v>
      </c>
      <c r="D82" s="254">
        <f t="shared" si="4"/>
        <v>5.99</v>
      </c>
      <c r="E82" s="316">
        <v>248</v>
      </c>
      <c r="F82" s="64">
        <f t="shared" si="1"/>
        <v>1485.52</v>
      </c>
    </row>
    <row r="83" spans="1:6" ht="10.5" customHeight="1">
      <c r="A83" s="132">
        <v>36678</v>
      </c>
      <c r="B83" s="246">
        <f t="shared" si="3"/>
        <v>5.99</v>
      </c>
      <c r="C83" s="249">
        <v>1</v>
      </c>
      <c r="D83" s="254">
        <f t="shared" si="4"/>
        <v>5.99</v>
      </c>
      <c r="E83" s="316">
        <v>240</v>
      </c>
      <c r="F83" s="64">
        <f t="shared" si="1"/>
        <v>1437.6</v>
      </c>
    </row>
    <row r="84" spans="1:6" ht="10.5" customHeight="1">
      <c r="A84" s="132">
        <v>36708</v>
      </c>
      <c r="B84" s="246">
        <v>5.99</v>
      </c>
      <c r="C84" s="249">
        <v>1</v>
      </c>
      <c r="D84" s="254">
        <f>B84*C84</f>
        <v>5.99</v>
      </c>
      <c r="E84" s="316">
        <v>248</v>
      </c>
      <c r="F84" s="64">
        <f t="shared" si="1"/>
        <v>1485.52</v>
      </c>
    </row>
    <row r="85" spans="1:6" ht="10.5" customHeight="1">
      <c r="A85" s="132">
        <v>36739</v>
      </c>
      <c r="B85" s="246">
        <f>D84</f>
        <v>5.99</v>
      </c>
      <c r="C85" s="249">
        <v>1</v>
      </c>
      <c r="D85" s="254">
        <f aca="true" t="shared" si="5" ref="D85:D148">B85*C85</f>
        <v>5.99</v>
      </c>
      <c r="E85" s="316">
        <v>248</v>
      </c>
      <c r="F85" s="64">
        <f t="shared" si="1"/>
        <v>1485.52</v>
      </c>
    </row>
    <row r="86" spans="1:6" ht="10.5" customHeight="1">
      <c r="A86" s="132">
        <v>36770</v>
      </c>
      <c r="B86" s="246">
        <f aca="true" t="shared" si="6" ref="B86:B149">D85</f>
        <v>5.99</v>
      </c>
      <c r="C86" s="249">
        <v>1</v>
      </c>
      <c r="D86" s="254">
        <f t="shared" si="5"/>
        <v>5.99</v>
      </c>
      <c r="E86" s="316">
        <v>240</v>
      </c>
      <c r="F86" s="64">
        <f aca="true" t="shared" si="7" ref="F86:F149">D86*E86</f>
        <v>1437.6</v>
      </c>
    </row>
    <row r="87" spans="1:6" ht="10.5" customHeight="1">
      <c r="A87" s="132">
        <v>36800</v>
      </c>
      <c r="B87" s="246">
        <f t="shared" si="6"/>
        <v>5.99</v>
      </c>
      <c r="C87" s="249">
        <v>1</v>
      </c>
      <c r="D87" s="254">
        <f t="shared" si="5"/>
        <v>5.99</v>
      </c>
      <c r="E87" s="316">
        <v>248</v>
      </c>
      <c r="F87" s="64">
        <f t="shared" si="7"/>
        <v>1485.52</v>
      </c>
    </row>
    <row r="88" spans="1:6" ht="10.5" customHeight="1">
      <c r="A88" s="132">
        <v>36831</v>
      </c>
      <c r="B88" s="246">
        <f t="shared" si="6"/>
        <v>5.99</v>
      </c>
      <c r="C88" s="249">
        <v>1</v>
      </c>
      <c r="D88" s="254">
        <f t="shared" si="5"/>
        <v>5.99</v>
      </c>
      <c r="E88" s="316">
        <v>240</v>
      </c>
      <c r="F88" s="64">
        <f t="shared" si="7"/>
        <v>1437.6</v>
      </c>
    </row>
    <row r="89" spans="1:6" ht="10.5" customHeight="1">
      <c r="A89" s="132">
        <v>36861</v>
      </c>
      <c r="B89" s="246">
        <f t="shared" si="6"/>
        <v>5.99</v>
      </c>
      <c r="C89" s="249">
        <v>1</v>
      </c>
      <c r="D89" s="254">
        <f t="shared" si="5"/>
        <v>5.99</v>
      </c>
      <c r="E89" s="316">
        <v>248</v>
      </c>
      <c r="F89" s="64">
        <f t="shared" si="7"/>
        <v>1485.52</v>
      </c>
    </row>
    <row r="90" spans="1:6" ht="10.5" customHeight="1">
      <c r="A90" s="132">
        <v>36892</v>
      </c>
      <c r="B90" s="246">
        <f t="shared" si="6"/>
        <v>5.99</v>
      </c>
      <c r="C90" s="249">
        <v>1.08</v>
      </c>
      <c r="D90" s="254">
        <f t="shared" si="5"/>
        <v>6.47</v>
      </c>
      <c r="E90" s="316">
        <v>248</v>
      </c>
      <c r="F90" s="64">
        <f t="shared" si="7"/>
        <v>1604.56</v>
      </c>
    </row>
    <row r="91" spans="1:6" ht="10.5" customHeight="1">
      <c r="A91" s="132">
        <v>36923</v>
      </c>
      <c r="B91" s="246">
        <f t="shared" si="6"/>
        <v>6.47</v>
      </c>
      <c r="C91" s="249">
        <v>1</v>
      </c>
      <c r="D91" s="254">
        <f t="shared" si="5"/>
        <v>6.47</v>
      </c>
      <c r="E91" s="316">
        <v>224</v>
      </c>
      <c r="F91" s="64">
        <f t="shared" si="7"/>
        <v>1449.28</v>
      </c>
    </row>
    <row r="92" spans="1:6" ht="10.5" customHeight="1">
      <c r="A92" s="132">
        <v>36951</v>
      </c>
      <c r="B92" s="246">
        <f t="shared" si="6"/>
        <v>6.47</v>
      </c>
      <c r="C92" s="249">
        <v>1</v>
      </c>
      <c r="D92" s="254">
        <f t="shared" si="5"/>
        <v>6.47</v>
      </c>
      <c r="E92" s="316">
        <v>248</v>
      </c>
      <c r="F92" s="64">
        <f t="shared" si="7"/>
        <v>1604.56</v>
      </c>
    </row>
    <row r="93" spans="1:6" ht="10.5" customHeight="1">
      <c r="A93" s="132">
        <v>36982</v>
      </c>
      <c r="B93" s="246">
        <f t="shared" si="6"/>
        <v>6.47</v>
      </c>
      <c r="C93" s="249">
        <v>1</v>
      </c>
      <c r="D93" s="254">
        <f t="shared" si="5"/>
        <v>6.47</v>
      </c>
      <c r="E93" s="316">
        <v>240</v>
      </c>
      <c r="F93" s="64">
        <f t="shared" si="7"/>
        <v>1552.8</v>
      </c>
    </row>
    <row r="94" spans="1:6" ht="10.5" customHeight="1">
      <c r="A94" s="132">
        <v>37012</v>
      </c>
      <c r="B94" s="246">
        <f t="shared" si="6"/>
        <v>6.47</v>
      </c>
      <c r="C94" s="249">
        <v>1</v>
      </c>
      <c r="D94" s="254">
        <f t="shared" si="5"/>
        <v>6.47</v>
      </c>
      <c r="E94" s="316">
        <v>248</v>
      </c>
      <c r="F94" s="64">
        <f t="shared" si="7"/>
        <v>1604.56</v>
      </c>
    </row>
    <row r="95" spans="1:6" ht="10.5" customHeight="1">
      <c r="A95" s="132">
        <v>37043</v>
      </c>
      <c r="B95" s="246">
        <f t="shared" si="6"/>
        <v>6.47</v>
      </c>
      <c r="C95" s="249">
        <v>1</v>
      </c>
      <c r="D95" s="254">
        <f t="shared" si="5"/>
        <v>6.47</v>
      </c>
      <c r="E95" s="316">
        <v>240</v>
      </c>
      <c r="F95" s="64">
        <f t="shared" si="7"/>
        <v>1552.8</v>
      </c>
    </row>
    <row r="96" spans="1:6" ht="10.5" customHeight="1">
      <c r="A96" s="132">
        <v>37073</v>
      </c>
      <c r="B96" s="246">
        <f t="shared" si="6"/>
        <v>6.47</v>
      </c>
      <c r="C96" s="249">
        <v>1</v>
      </c>
      <c r="D96" s="254">
        <f t="shared" si="5"/>
        <v>6.47</v>
      </c>
      <c r="E96" s="316">
        <v>248</v>
      </c>
      <c r="F96" s="64">
        <f t="shared" si="7"/>
        <v>1604.56</v>
      </c>
    </row>
    <row r="97" spans="1:6" ht="10.5" customHeight="1">
      <c r="A97" s="132">
        <v>37104</v>
      </c>
      <c r="B97" s="246">
        <f t="shared" si="6"/>
        <v>6.47</v>
      </c>
      <c r="C97" s="249">
        <v>1</v>
      </c>
      <c r="D97" s="254">
        <f t="shared" si="5"/>
        <v>6.47</v>
      </c>
      <c r="E97" s="316">
        <v>248</v>
      </c>
      <c r="F97" s="64">
        <f t="shared" si="7"/>
        <v>1604.56</v>
      </c>
    </row>
    <row r="98" spans="1:6" ht="10.5" customHeight="1">
      <c r="A98" s="132">
        <v>37135</v>
      </c>
      <c r="B98" s="246">
        <f t="shared" si="6"/>
        <v>6.47</v>
      </c>
      <c r="C98" s="249">
        <v>1</v>
      </c>
      <c r="D98" s="254">
        <f t="shared" si="5"/>
        <v>6.47</v>
      </c>
      <c r="E98" s="316">
        <v>240</v>
      </c>
      <c r="F98" s="64">
        <f t="shared" si="7"/>
        <v>1552.8</v>
      </c>
    </row>
    <row r="99" spans="1:6" ht="10.5" customHeight="1">
      <c r="A99" s="132">
        <v>37165</v>
      </c>
      <c r="B99" s="246">
        <f t="shared" si="6"/>
        <v>6.47</v>
      </c>
      <c r="C99" s="249">
        <v>1</v>
      </c>
      <c r="D99" s="254">
        <f t="shared" si="5"/>
        <v>6.47</v>
      </c>
      <c r="E99" s="316">
        <v>248</v>
      </c>
      <c r="F99" s="64">
        <f t="shared" si="7"/>
        <v>1604.56</v>
      </c>
    </row>
    <row r="100" spans="1:6" s="182" customFormat="1" ht="10.5" customHeight="1">
      <c r="A100" s="132">
        <v>37196</v>
      </c>
      <c r="B100" s="246">
        <f t="shared" si="6"/>
        <v>6.47</v>
      </c>
      <c r="C100" s="249">
        <v>1</v>
      </c>
      <c r="D100" s="254">
        <f t="shared" si="5"/>
        <v>6.47</v>
      </c>
      <c r="E100" s="316">
        <v>240</v>
      </c>
      <c r="F100" s="64">
        <f t="shared" si="7"/>
        <v>1552.8</v>
      </c>
    </row>
    <row r="101" spans="1:6" ht="10.5" customHeight="1">
      <c r="A101" s="132">
        <v>37226</v>
      </c>
      <c r="B101" s="246">
        <f t="shared" si="6"/>
        <v>6.47</v>
      </c>
      <c r="C101" s="249">
        <v>1</v>
      </c>
      <c r="D101" s="254">
        <f t="shared" si="5"/>
        <v>6.47</v>
      </c>
      <c r="E101" s="316">
        <v>248</v>
      </c>
      <c r="F101" s="64">
        <f t="shared" si="7"/>
        <v>1604.56</v>
      </c>
    </row>
    <row r="102" spans="1:6" ht="10.5" customHeight="1">
      <c r="A102" s="132">
        <v>37257</v>
      </c>
      <c r="B102" s="246">
        <f t="shared" si="6"/>
        <v>6.47</v>
      </c>
      <c r="C102" s="249">
        <v>1.0816</v>
      </c>
      <c r="D102" s="254">
        <f t="shared" si="5"/>
        <v>7</v>
      </c>
      <c r="E102" s="316">
        <v>248</v>
      </c>
      <c r="F102" s="64">
        <f t="shared" si="7"/>
        <v>1736</v>
      </c>
    </row>
    <row r="103" spans="1:6" ht="10.5" customHeight="1">
      <c r="A103" s="132">
        <v>37288</v>
      </c>
      <c r="B103" s="246">
        <f t="shared" si="6"/>
        <v>7</v>
      </c>
      <c r="C103" s="249">
        <v>1</v>
      </c>
      <c r="D103" s="254">
        <f t="shared" si="5"/>
        <v>7</v>
      </c>
      <c r="E103" s="316">
        <v>224</v>
      </c>
      <c r="F103" s="64">
        <f t="shared" si="7"/>
        <v>1568</v>
      </c>
    </row>
    <row r="104" spans="1:6" ht="10.5" customHeight="1">
      <c r="A104" s="132">
        <v>37316</v>
      </c>
      <c r="B104" s="246">
        <f t="shared" si="6"/>
        <v>7</v>
      </c>
      <c r="C104" s="249">
        <v>1</v>
      </c>
      <c r="D104" s="254">
        <f t="shared" si="5"/>
        <v>7</v>
      </c>
      <c r="E104" s="316">
        <v>248</v>
      </c>
      <c r="F104" s="64">
        <f t="shared" si="7"/>
        <v>1736</v>
      </c>
    </row>
    <row r="105" spans="1:6" ht="10.5" customHeight="1">
      <c r="A105" s="132">
        <v>37347</v>
      </c>
      <c r="B105" s="246">
        <f t="shared" si="6"/>
        <v>7</v>
      </c>
      <c r="C105" s="249">
        <v>1</v>
      </c>
      <c r="D105" s="254">
        <f t="shared" si="5"/>
        <v>7</v>
      </c>
      <c r="E105" s="316">
        <v>240</v>
      </c>
      <c r="F105" s="64">
        <f t="shared" si="7"/>
        <v>1680</v>
      </c>
    </row>
    <row r="106" spans="1:6" ht="10.5" customHeight="1">
      <c r="A106" s="132">
        <v>37377</v>
      </c>
      <c r="B106" s="246">
        <f t="shared" si="6"/>
        <v>7</v>
      </c>
      <c r="C106" s="249">
        <v>1</v>
      </c>
      <c r="D106" s="254">
        <f t="shared" si="5"/>
        <v>7</v>
      </c>
      <c r="E106" s="316">
        <v>248</v>
      </c>
      <c r="F106" s="64">
        <f t="shared" si="7"/>
        <v>1736</v>
      </c>
    </row>
    <row r="107" spans="1:6" ht="10.5" customHeight="1">
      <c r="A107" s="132">
        <v>37408</v>
      </c>
      <c r="B107" s="246">
        <f t="shared" si="6"/>
        <v>7</v>
      </c>
      <c r="C107" s="249">
        <v>1</v>
      </c>
      <c r="D107" s="254">
        <f t="shared" si="5"/>
        <v>7</v>
      </c>
      <c r="E107" s="316">
        <v>240</v>
      </c>
      <c r="F107" s="64">
        <f t="shared" si="7"/>
        <v>1680</v>
      </c>
    </row>
    <row r="108" spans="1:6" ht="10.5" customHeight="1">
      <c r="A108" s="132">
        <v>37438</v>
      </c>
      <c r="B108" s="246">
        <f t="shared" si="6"/>
        <v>7</v>
      </c>
      <c r="C108" s="249">
        <v>1</v>
      </c>
      <c r="D108" s="254">
        <f t="shared" si="5"/>
        <v>7</v>
      </c>
      <c r="E108" s="316">
        <v>248</v>
      </c>
      <c r="F108" s="64">
        <f t="shared" si="7"/>
        <v>1736</v>
      </c>
    </row>
    <row r="109" spans="1:6" ht="10.5" customHeight="1">
      <c r="A109" s="132">
        <v>37469</v>
      </c>
      <c r="B109" s="246">
        <f t="shared" si="6"/>
        <v>7</v>
      </c>
      <c r="C109" s="249">
        <v>1</v>
      </c>
      <c r="D109" s="254">
        <f t="shared" si="5"/>
        <v>7</v>
      </c>
      <c r="E109" s="316">
        <v>248</v>
      </c>
      <c r="F109" s="64">
        <f t="shared" si="7"/>
        <v>1736</v>
      </c>
    </row>
    <row r="110" spans="1:6" ht="10.5" customHeight="1">
      <c r="A110" s="132">
        <v>37500</v>
      </c>
      <c r="B110" s="246">
        <f t="shared" si="6"/>
        <v>7</v>
      </c>
      <c r="C110" s="249">
        <v>1</v>
      </c>
      <c r="D110" s="254">
        <f t="shared" si="5"/>
        <v>7</v>
      </c>
      <c r="E110" s="316">
        <v>240</v>
      </c>
      <c r="F110" s="64">
        <f t="shared" si="7"/>
        <v>1680</v>
      </c>
    </row>
    <row r="111" spans="1:6" ht="10.5" customHeight="1">
      <c r="A111" s="132">
        <v>37530</v>
      </c>
      <c r="B111" s="246">
        <f t="shared" si="6"/>
        <v>7</v>
      </c>
      <c r="C111" s="249">
        <v>1</v>
      </c>
      <c r="D111" s="254">
        <f t="shared" si="5"/>
        <v>7</v>
      </c>
      <c r="E111" s="316">
        <v>248</v>
      </c>
      <c r="F111" s="64">
        <f t="shared" si="7"/>
        <v>1736</v>
      </c>
    </row>
    <row r="112" spans="1:6" ht="10.5" customHeight="1">
      <c r="A112" s="132">
        <v>37561</v>
      </c>
      <c r="B112" s="246">
        <f t="shared" si="6"/>
        <v>7</v>
      </c>
      <c r="C112" s="249">
        <v>1</v>
      </c>
      <c r="D112" s="254">
        <f t="shared" si="5"/>
        <v>7</v>
      </c>
      <c r="E112" s="316">
        <v>240</v>
      </c>
      <c r="F112" s="64">
        <f t="shared" si="7"/>
        <v>1680</v>
      </c>
    </row>
    <row r="113" spans="1:6" ht="10.5" customHeight="1">
      <c r="A113" s="132">
        <v>37591</v>
      </c>
      <c r="B113" s="246">
        <f t="shared" si="6"/>
        <v>7</v>
      </c>
      <c r="C113" s="249">
        <v>1</v>
      </c>
      <c r="D113" s="254">
        <f t="shared" si="5"/>
        <v>7</v>
      </c>
      <c r="E113" s="316">
        <v>248</v>
      </c>
      <c r="F113" s="64">
        <f t="shared" si="7"/>
        <v>1736</v>
      </c>
    </row>
    <row r="114" spans="1:6" ht="10.5" customHeight="1">
      <c r="A114" s="132">
        <v>37622</v>
      </c>
      <c r="B114" s="246">
        <f t="shared" si="6"/>
        <v>7</v>
      </c>
      <c r="C114" s="249">
        <v>1.1026</v>
      </c>
      <c r="D114" s="254">
        <f t="shared" si="5"/>
        <v>7.72</v>
      </c>
      <c r="E114" s="316">
        <v>248</v>
      </c>
      <c r="F114" s="64">
        <f t="shared" si="7"/>
        <v>1914.56</v>
      </c>
    </row>
    <row r="115" spans="1:6" ht="10.5" customHeight="1">
      <c r="A115" s="132">
        <v>37653</v>
      </c>
      <c r="B115" s="246">
        <f t="shared" si="6"/>
        <v>7.72</v>
      </c>
      <c r="C115" s="249">
        <v>1</v>
      </c>
      <c r="D115" s="254">
        <f t="shared" si="5"/>
        <v>7.72</v>
      </c>
      <c r="E115" s="316">
        <v>224</v>
      </c>
      <c r="F115" s="64">
        <f t="shared" si="7"/>
        <v>1729.28</v>
      </c>
    </row>
    <row r="116" spans="1:6" ht="10.5" customHeight="1">
      <c r="A116" s="132">
        <v>37681</v>
      </c>
      <c r="B116" s="246">
        <f t="shared" si="6"/>
        <v>7.72</v>
      </c>
      <c r="C116" s="249">
        <v>1</v>
      </c>
      <c r="D116" s="254">
        <f t="shared" si="5"/>
        <v>7.72</v>
      </c>
      <c r="E116" s="316">
        <v>248</v>
      </c>
      <c r="F116" s="64">
        <f t="shared" si="7"/>
        <v>1914.56</v>
      </c>
    </row>
    <row r="117" spans="1:11" ht="10.5" customHeight="1">
      <c r="A117" s="132">
        <v>37712</v>
      </c>
      <c r="B117" s="246">
        <f t="shared" si="6"/>
        <v>7.72</v>
      </c>
      <c r="C117" s="249">
        <v>1</v>
      </c>
      <c r="D117" s="254">
        <f t="shared" si="5"/>
        <v>7.72</v>
      </c>
      <c r="E117" s="316">
        <v>240</v>
      </c>
      <c r="F117" s="64">
        <f t="shared" si="7"/>
        <v>1852.8</v>
      </c>
      <c r="G117" s="247"/>
      <c r="H117" s="247"/>
      <c r="I117" s="247"/>
      <c r="J117" s="247"/>
      <c r="K117" s="247"/>
    </row>
    <row r="118" spans="1:11" ht="10.5" customHeight="1">
      <c r="A118" s="132">
        <v>37742</v>
      </c>
      <c r="B118" s="246">
        <f t="shared" si="6"/>
        <v>7.72</v>
      </c>
      <c r="C118" s="249">
        <v>1</v>
      </c>
      <c r="D118" s="254">
        <f t="shared" si="5"/>
        <v>7.72</v>
      </c>
      <c r="E118" s="316">
        <v>248</v>
      </c>
      <c r="F118" s="64">
        <f t="shared" si="7"/>
        <v>1914.56</v>
      </c>
      <c r="G118" s="247"/>
      <c r="H118" s="247"/>
      <c r="I118" s="247"/>
      <c r="J118" s="247"/>
      <c r="K118" s="247"/>
    </row>
    <row r="119" spans="1:11" ht="10.5" customHeight="1">
      <c r="A119" s="132">
        <v>37773</v>
      </c>
      <c r="B119" s="246">
        <f t="shared" si="6"/>
        <v>7.72</v>
      </c>
      <c r="C119" s="249">
        <v>1</v>
      </c>
      <c r="D119" s="254">
        <f t="shared" si="5"/>
        <v>7.72</v>
      </c>
      <c r="E119" s="316">
        <v>240</v>
      </c>
      <c r="F119" s="64">
        <f t="shared" si="7"/>
        <v>1852.8</v>
      </c>
      <c r="G119" s="247"/>
      <c r="H119" s="247"/>
      <c r="I119" s="247"/>
      <c r="J119" s="247"/>
      <c r="K119" s="247"/>
    </row>
    <row r="120" spans="1:15" ht="10.5" customHeight="1">
      <c r="A120" s="132">
        <v>37803</v>
      </c>
      <c r="B120" s="246">
        <f t="shared" si="6"/>
        <v>7.72</v>
      </c>
      <c r="C120" s="249">
        <v>1</v>
      </c>
      <c r="D120" s="254">
        <f t="shared" si="5"/>
        <v>7.72</v>
      </c>
      <c r="E120" s="316">
        <v>248</v>
      </c>
      <c r="F120" s="64">
        <f t="shared" si="7"/>
        <v>1914.56</v>
      </c>
      <c r="I120" s="235"/>
      <c r="J120" s="235"/>
      <c r="K120" s="235"/>
      <c r="L120" s="235"/>
      <c r="M120" s="235"/>
      <c r="O120" s="248"/>
    </row>
    <row r="121" spans="1:6" ht="10.5" customHeight="1">
      <c r="A121" s="132">
        <v>37834</v>
      </c>
      <c r="B121" s="246">
        <f t="shared" si="6"/>
        <v>7.72</v>
      </c>
      <c r="C121" s="249">
        <v>1</v>
      </c>
      <c r="D121" s="254">
        <f t="shared" si="5"/>
        <v>7.72</v>
      </c>
      <c r="E121" s="316">
        <v>248</v>
      </c>
      <c r="F121" s="64">
        <f t="shared" si="7"/>
        <v>1914.56</v>
      </c>
    </row>
    <row r="122" spans="1:6" ht="10.5" customHeight="1">
      <c r="A122" s="132">
        <v>37865</v>
      </c>
      <c r="B122" s="246">
        <f t="shared" si="6"/>
        <v>7.72</v>
      </c>
      <c r="C122" s="249">
        <v>1</v>
      </c>
      <c r="D122" s="254">
        <f t="shared" si="5"/>
        <v>7.72</v>
      </c>
      <c r="E122" s="316">
        <v>240</v>
      </c>
      <c r="F122" s="64">
        <f t="shared" si="7"/>
        <v>1852.8</v>
      </c>
    </row>
    <row r="123" spans="1:10" ht="10.5" customHeight="1">
      <c r="A123" s="132">
        <v>37895</v>
      </c>
      <c r="B123" s="246">
        <f t="shared" si="6"/>
        <v>7.72</v>
      </c>
      <c r="C123" s="249">
        <v>1</v>
      </c>
      <c r="D123" s="254">
        <f t="shared" si="5"/>
        <v>7.72</v>
      </c>
      <c r="E123" s="316">
        <v>248</v>
      </c>
      <c r="F123" s="64">
        <f t="shared" si="7"/>
        <v>1914.56</v>
      </c>
      <c r="I123" s="235"/>
      <c r="J123" s="235"/>
    </row>
    <row r="124" spans="1:11" ht="10.5" customHeight="1">
      <c r="A124" s="132">
        <v>37926</v>
      </c>
      <c r="B124" s="246">
        <f t="shared" si="6"/>
        <v>7.72</v>
      </c>
      <c r="C124" s="249">
        <v>1</v>
      </c>
      <c r="D124" s="254">
        <f t="shared" si="5"/>
        <v>7.72</v>
      </c>
      <c r="E124" s="316">
        <v>240</v>
      </c>
      <c r="F124" s="64">
        <f t="shared" si="7"/>
        <v>1852.8</v>
      </c>
      <c r="I124" s="235"/>
      <c r="J124" s="235"/>
      <c r="K124" s="235"/>
    </row>
    <row r="125" spans="1:6" ht="10.5" customHeight="1">
      <c r="A125" s="132">
        <v>37956</v>
      </c>
      <c r="B125" s="246">
        <f t="shared" si="6"/>
        <v>7.72</v>
      </c>
      <c r="C125" s="249">
        <v>1</v>
      </c>
      <c r="D125" s="254">
        <f t="shared" si="5"/>
        <v>7.72</v>
      </c>
      <c r="E125" s="316">
        <v>248</v>
      </c>
      <c r="F125" s="64">
        <f t="shared" si="7"/>
        <v>1914.56</v>
      </c>
    </row>
    <row r="126" spans="1:6" ht="10.5" customHeight="1">
      <c r="A126" s="132">
        <v>37987</v>
      </c>
      <c r="B126" s="246">
        <f t="shared" si="6"/>
        <v>7.72</v>
      </c>
      <c r="C126" s="249">
        <v>1.1651</v>
      </c>
      <c r="D126" s="254">
        <f t="shared" si="5"/>
        <v>8.99</v>
      </c>
      <c r="E126" s="316">
        <v>248</v>
      </c>
      <c r="F126" s="64">
        <f t="shared" si="7"/>
        <v>2229.52</v>
      </c>
    </row>
    <row r="127" spans="1:6" ht="10.5" customHeight="1">
      <c r="A127" s="132">
        <v>38018</v>
      </c>
      <c r="B127" s="246">
        <f t="shared" si="6"/>
        <v>8.99</v>
      </c>
      <c r="C127" s="249">
        <v>1</v>
      </c>
      <c r="D127" s="254">
        <f t="shared" si="5"/>
        <v>8.99</v>
      </c>
      <c r="E127" s="316">
        <v>232</v>
      </c>
      <c r="F127" s="64">
        <f t="shared" si="7"/>
        <v>2085.68</v>
      </c>
    </row>
    <row r="128" spans="1:6" ht="10.5" customHeight="1">
      <c r="A128" s="132">
        <v>38047</v>
      </c>
      <c r="B128" s="246">
        <f t="shared" si="6"/>
        <v>8.99</v>
      </c>
      <c r="C128" s="249">
        <v>1</v>
      </c>
      <c r="D128" s="254">
        <f t="shared" si="5"/>
        <v>8.99</v>
      </c>
      <c r="E128" s="316">
        <v>248</v>
      </c>
      <c r="F128" s="64">
        <f t="shared" si="7"/>
        <v>2229.52</v>
      </c>
    </row>
    <row r="129" spans="1:6" ht="10.5" customHeight="1">
      <c r="A129" s="132">
        <v>38078</v>
      </c>
      <c r="B129" s="246">
        <f t="shared" si="6"/>
        <v>8.99</v>
      </c>
      <c r="C129" s="249">
        <v>1</v>
      </c>
      <c r="D129" s="254">
        <f t="shared" si="5"/>
        <v>8.99</v>
      </c>
      <c r="E129" s="316">
        <v>240</v>
      </c>
      <c r="F129" s="64">
        <f t="shared" si="7"/>
        <v>2157.6</v>
      </c>
    </row>
    <row r="130" spans="1:6" ht="10.5" customHeight="1">
      <c r="A130" s="132">
        <v>38108</v>
      </c>
      <c r="B130" s="246">
        <f t="shared" si="6"/>
        <v>8.99</v>
      </c>
      <c r="C130" s="249">
        <v>1</v>
      </c>
      <c r="D130" s="254">
        <f t="shared" si="5"/>
        <v>8.99</v>
      </c>
      <c r="E130" s="316">
        <v>248</v>
      </c>
      <c r="F130" s="64">
        <f t="shared" si="7"/>
        <v>2229.52</v>
      </c>
    </row>
    <row r="131" spans="1:6" ht="10.5" customHeight="1">
      <c r="A131" s="132">
        <v>38139</v>
      </c>
      <c r="B131" s="246">
        <f t="shared" si="6"/>
        <v>8.99</v>
      </c>
      <c r="C131" s="249">
        <v>1</v>
      </c>
      <c r="D131" s="254">
        <f t="shared" si="5"/>
        <v>8.99</v>
      </c>
      <c r="E131" s="316">
        <v>240</v>
      </c>
      <c r="F131" s="64">
        <f t="shared" si="7"/>
        <v>2157.6</v>
      </c>
    </row>
    <row r="132" spans="1:6" ht="10.5" customHeight="1">
      <c r="A132" s="132">
        <v>38169</v>
      </c>
      <c r="B132" s="246">
        <f t="shared" si="6"/>
        <v>8.99</v>
      </c>
      <c r="C132" s="249">
        <v>1</v>
      </c>
      <c r="D132" s="254">
        <f t="shared" si="5"/>
        <v>8.99</v>
      </c>
      <c r="E132" s="316">
        <v>248</v>
      </c>
      <c r="F132" s="64">
        <f t="shared" si="7"/>
        <v>2229.52</v>
      </c>
    </row>
    <row r="133" spans="1:6" ht="10.5" customHeight="1">
      <c r="A133" s="132">
        <v>38200</v>
      </c>
      <c r="B133" s="246">
        <f t="shared" si="6"/>
        <v>8.99</v>
      </c>
      <c r="C133" s="249">
        <v>1</v>
      </c>
      <c r="D133" s="254">
        <f t="shared" si="5"/>
        <v>8.99</v>
      </c>
      <c r="E133" s="316">
        <v>248</v>
      </c>
      <c r="F133" s="64">
        <f t="shared" si="7"/>
        <v>2229.52</v>
      </c>
    </row>
    <row r="134" spans="1:6" ht="10.5" customHeight="1">
      <c r="A134" s="132">
        <v>38231</v>
      </c>
      <c r="B134" s="246">
        <f t="shared" si="6"/>
        <v>8.99</v>
      </c>
      <c r="C134" s="249">
        <v>1</v>
      </c>
      <c r="D134" s="254">
        <f t="shared" si="5"/>
        <v>8.99</v>
      </c>
      <c r="E134" s="316">
        <v>240</v>
      </c>
      <c r="F134" s="64">
        <f t="shared" si="7"/>
        <v>2157.6</v>
      </c>
    </row>
    <row r="135" spans="1:6" ht="10.5" customHeight="1">
      <c r="A135" s="132">
        <v>38261</v>
      </c>
      <c r="B135" s="246">
        <f t="shared" si="6"/>
        <v>8.99</v>
      </c>
      <c r="C135" s="249">
        <v>1</v>
      </c>
      <c r="D135" s="254">
        <f t="shared" si="5"/>
        <v>8.99</v>
      </c>
      <c r="E135" s="316">
        <v>248</v>
      </c>
      <c r="F135" s="64">
        <f t="shared" si="7"/>
        <v>2229.52</v>
      </c>
    </row>
    <row r="136" spans="1:6" ht="10.5" customHeight="1">
      <c r="A136" s="132">
        <v>38292</v>
      </c>
      <c r="B136" s="246">
        <f t="shared" si="6"/>
        <v>8.99</v>
      </c>
      <c r="C136" s="249">
        <v>1</v>
      </c>
      <c r="D136" s="254">
        <f t="shared" si="5"/>
        <v>8.99</v>
      </c>
      <c r="E136" s="316">
        <v>240</v>
      </c>
      <c r="F136" s="64">
        <f t="shared" si="7"/>
        <v>2157.6</v>
      </c>
    </row>
    <row r="137" spans="1:6" ht="10.5" customHeight="1">
      <c r="A137" s="312">
        <v>38322</v>
      </c>
      <c r="B137" s="313">
        <f t="shared" si="6"/>
        <v>8.99</v>
      </c>
      <c r="C137" s="314">
        <v>1</v>
      </c>
      <c r="D137" s="315">
        <f t="shared" si="5"/>
        <v>8.99</v>
      </c>
      <c r="E137" s="316">
        <v>248</v>
      </c>
      <c r="F137" s="64">
        <f t="shared" si="7"/>
        <v>2229.52</v>
      </c>
    </row>
    <row r="138" spans="1:6" ht="10.5" customHeight="1">
      <c r="A138" s="312">
        <v>38353</v>
      </c>
      <c r="B138" s="313">
        <f t="shared" si="6"/>
        <v>8.99</v>
      </c>
      <c r="C138" s="314">
        <v>1.097228</v>
      </c>
      <c r="D138" s="315">
        <f t="shared" si="5"/>
        <v>9.86</v>
      </c>
      <c r="E138" s="316">
        <v>248</v>
      </c>
      <c r="F138" s="64">
        <f t="shared" si="7"/>
        <v>2445.28</v>
      </c>
    </row>
    <row r="139" spans="1:6" ht="10.5" customHeight="1">
      <c r="A139" s="132">
        <v>38384</v>
      </c>
      <c r="B139" s="246">
        <f t="shared" si="6"/>
        <v>9.86</v>
      </c>
      <c r="C139" s="249">
        <v>1</v>
      </c>
      <c r="D139" s="254">
        <f t="shared" si="5"/>
        <v>9.86</v>
      </c>
      <c r="E139" s="316">
        <v>224</v>
      </c>
      <c r="F139" s="64">
        <f t="shared" si="7"/>
        <v>2208.64</v>
      </c>
    </row>
    <row r="140" spans="1:6" ht="10.5" customHeight="1">
      <c r="A140" s="132">
        <v>38412</v>
      </c>
      <c r="B140" s="246">
        <f t="shared" si="6"/>
        <v>9.86</v>
      </c>
      <c r="C140" s="249">
        <v>1</v>
      </c>
      <c r="D140" s="254">
        <f t="shared" si="5"/>
        <v>9.86</v>
      </c>
      <c r="E140" s="316">
        <v>248</v>
      </c>
      <c r="F140" s="64">
        <f t="shared" si="7"/>
        <v>2445.28</v>
      </c>
    </row>
    <row r="141" spans="1:6" ht="10.5" customHeight="1">
      <c r="A141" s="132">
        <v>38443</v>
      </c>
      <c r="B141" s="246">
        <f t="shared" si="6"/>
        <v>9.86</v>
      </c>
      <c r="C141" s="249">
        <v>1</v>
      </c>
      <c r="D141" s="254">
        <f t="shared" si="5"/>
        <v>9.86</v>
      </c>
      <c r="E141" s="316">
        <v>240</v>
      </c>
      <c r="F141" s="64">
        <f t="shared" si="7"/>
        <v>2366.4</v>
      </c>
    </row>
    <row r="142" spans="1:6" ht="10.5" customHeight="1">
      <c r="A142" s="132">
        <v>38473</v>
      </c>
      <c r="B142" s="246">
        <f t="shared" si="6"/>
        <v>9.86</v>
      </c>
      <c r="C142" s="249">
        <v>1</v>
      </c>
      <c r="D142" s="254">
        <f t="shared" si="5"/>
        <v>9.86</v>
      </c>
      <c r="E142" s="316">
        <v>248</v>
      </c>
      <c r="F142" s="64">
        <f t="shared" si="7"/>
        <v>2445.28</v>
      </c>
    </row>
    <row r="143" spans="1:6" ht="10.5" customHeight="1">
      <c r="A143" s="132">
        <v>38504</v>
      </c>
      <c r="B143" s="246">
        <f t="shared" si="6"/>
        <v>9.86</v>
      </c>
      <c r="C143" s="249">
        <v>1</v>
      </c>
      <c r="D143" s="254">
        <f t="shared" si="5"/>
        <v>9.86</v>
      </c>
      <c r="E143" s="316">
        <v>240</v>
      </c>
      <c r="F143" s="64">
        <f t="shared" si="7"/>
        <v>2366.4</v>
      </c>
    </row>
    <row r="144" spans="1:6" ht="10.5" customHeight="1">
      <c r="A144" s="132">
        <v>38534</v>
      </c>
      <c r="B144" s="246">
        <f t="shared" si="6"/>
        <v>9.86</v>
      </c>
      <c r="C144" s="249">
        <v>1</v>
      </c>
      <c r="D144" s="254">
        <f t="shared" si="5"/>
        <v>9.86</v>
      </c>
      <c r="E144" s="316">
        <v>248</v>
      </c>
      <c r="F144" s="64">
        <f t="shared" si="7"/>
        <v>2445.28</v>
      </c>
    </row>
    <row r="145" spans="1:6" ht="10.5" customHeight="1">
      <c r="A145" s="132">
        <v>38565</v>
      </c>
      <c r="B145" s="246">
        <f t="shared" si="6"/>
        <v>9.86</v>
      </c>
      <c r="C145" s="249">
        <v>1</v>
      </c>
      <c r="D145" s="254">
        <f t="shared" si="5"/>
        <v>9.86</v>
      </c>
      <c r="E145" s="316">
        <v>248</v>
      </c>
      <c r="F145" s="64">
        <f t="shared" si="7"/>
        <v>2445.28</v>
      </c>
    </row>
    <row r="146" spans="1:6" ht="10.5" customHeight="1">
      <c r="A146" s="132">
        <v>38596</v>
      </c>
      <c r="B146" s="246">
        <f t="shared" si="6"/>
        <v>9.86</v>
      </c>
      <c r="C146" s="249">
        <v>1</v>
      </c>
      <c r="D146" s="254">
        <f t="shared" si="5"/>
        <v>9.86</v>
      </c>
      <c r="E146" s="316">
        <v>240</v>
      </c>
      <c r="F146" s="64">
        <f t="shared" si="7"/>
        <v>2366.4</v>
      </c>
    </row>
    <row r="147" spans="1:6" ht="10.5" customHeight="1">
      <c r="A147" s="132">
        <v>38626</v>
      </c>
      <c r="B147" s="246">
        <f t="shared" si="6"/>
        <v>9.86</v>
      </c>
      <c r="C147" s="249">
        <v>1</v>
      </c>
      <c r="D147" s="254">
        <f t="shared" si="5"/>
        <v>9.86</v>
      </c>
      <c r="E147" s="316">
        <v>248</v>
      </c>
      <c r="F147" s="64">
        <f t="shared" si="7"/>
        <v>2445.28</v>
      </c>
    </row>
    <row r="148" spans="1:6" ht="10.5" customHeight="1">
      <c r="A148" s="132">
        <v>38657</v>
      </c>
      <c r="B148" s="246">
        <f t="shared" si="6"/>
        <v>9.86</v>
      </c>
      <c r="C148" s="249">
        <v>1</v>
      </c>
      <c r="D148" s="254">
        <f t="shared" si="5"/>
        <v>9.86</v>
      </c>
      <c r="E148" s="316">
        <v>240</v>
      </c>
      <c r="F148" s="64">
        <f t="shared" si="7"/>
        <v>2366.4</v>
      </c>
    </row>
    <row r="149" spans="1:6" ht="10.5" customHeight="1">
      <c r="A149" s="132">
        <v>38687</v>
      </c>
      <c r="B149" s="246">
        <f t="shared" si="6"/>
        <v>9.86</v>
      </c>
      <c r="C149" s="249">
        <v>1</v>
      </c>
      <c r="D149" s="254">
        <f aca="true" t="shared" si="8" ref="D149:D161">B149*C149</f>
        <v>9.86</v>
      </c>
      <c r="E149" s="316">
        <v>248</v>
      </c>
      <c r="F149" s="64">
        <f t="shared" si="7"/>
        <v>2445.28</v>
      </c>
    </row>
    <row r="150" spans="1:6" ht="10.5" customHeight="1">
      <c r="A150" s="132">
        <v>38718</v>
      </c>
      <c r="B150" s="246">
        <f aca="true" t="shared" si="9" ref="B150:B160">D149</f>
        <v>9.86</v>
      </c>
      <c r="C150" s="249">
        <v>1.083</v>
      </c>
      <c r="D150" s="254">
        <f t="shared" si="8"/>
        <v>10.68</v>
      </c>
      <c r="E150" s="316">
        <v>248</v>
      </c>
      <c r="F150" s="64">
        <f aca="true" t="shared" si="10" ref="F150:F213">D150*E150</f>
        <v>2648.64</v>
      </c>
    </row>
    <row r="151" spans="1:6" ht="10.5" customHeight="1">
      <c r="A151" s="132">
        <v>38749</v>
      </c>
      <c r="B151" s="246">
        <f t="shared" si="9"/>
        <v>10.68</v>
      </c>
      <c r="C151" s="249">
        <v>1</v>
      </c>
      <c r="D151" s="254">
        <f t="shared" si="8"/>
        <v>10.68</v>
      </c>
      <c r="E151" s="316">
        <v>224</v>
      </c>
      <c r="F151" s="64">
        <f t="shared" si="10"/>
        <v>2392.32</v>
      </c>
    </row>
    <row r="152" spans="1:6" ht="10.5" customHeight="1">
      <c r="A152" s="132">
        <v>38777</v>
      </c>
      <c r="B152" s="246">
        <f t="shared" si="9"/>
        <v>10.68</v>
      </c>
      <c r="C152" s="249">
        <v>1</v>
      </c>
      <c r="D152" s="254">
        <f t="shared" si="8"/>
        <v>10.68</v>
      </c>
      <c r="E152" s="316">
        <v>248</v>
      </c>
      <c r="F152" s="64">
        <f t="shared" si="10"/>
        <v>2648.64</v>
      </c>
    </row>
    <row r="153" spans="1:6" ht="10.5" customHeight="1">
      <c r="A153" s="132">
        <v>38808</v>
      </c>
      <c r="B153" s="246">
        <f t="shared" si="9"/>
        <v>10.68</v>
      </c>
      <c r="C153" s="249">
        <v>1</v>
      </c>
      <c r="D153" s="254">
        <f t="shared" si="8"/>
        <v>10.68</v>
      </c>
      <c r="E153" s="316">
        <v>240</v>
      </c>
      <c r="F153" s="64">
        <f t="shared" si="10"/>
        <v>2563.2</v>
      </c>
    </row>
    <row r="154" spans="1:6" ht="10.5" customHeight="1">
      <c r="A154" s="132">
        <v>38838</v>
      </c>
      <c r="B154" s="246">
        <f t="shared" si="9"/>
        <v>10.68</v>
      </c>
      <c r="C154" s="249">
        <v>1</v>
      </c>
      <c r="D154" s="254">
        <f t="shared" si="8"/>
        <v>10.68</v>
      </c>
      <c r="E154" s="316">
        <v>248</v>
      </c>
      <c r="F154" s="64">
        <f t="shared" si="10"/>
        <v>2648.64</v>
      </c>
    </row>
    <row r="155" spans="1:6" ht="10.5" customHeight="1">
      <c r="A155" s="132">
        <v>38869</v>
      </c>
      <c r="B155" s="246">
        <f t="shared" si="9"/>
        <v>10.68</v>
      </c>
      <c r="C155" s="249">
        <v>1</v>
      </c>
      <c r="D155" s="254">
        <f t="shared" si="8"/>
        <v>10.68</v>
      </c>
      <c r="E155" s="316">
        <v>240</v>
      </c>
      <c r="F155" s="64">
        <f t="shared" si="10"/>
        <v>2563.2</v>
      </c>
    </row>
    <row r="156" spans="1:6" ht="10.5" customHeight="1">
      <c r="A156" s="132">
        <v>38899</v>
      </c>
      <c r="B156" s="246">
        <f t="shared" si="9"/>
        <v>10.68</v>
      </c>
      <c r="C156" s="249">
        <v>1</v>
      </c>
      <c r="D156" s="254">
        <f t="shared" si="8"/>
        <v>10.68</v>
      </c>
      <c r="E156" s="316">
        <v>248</v>
      </c>
      <c r="F156" s="64">
        <f t="shared" si="10"/>
        <v>2648.64</v>
      </c>
    </row>
    <row r="157" spans="1:6" ht="10.5" customHeight="1">
      <c r="A157" s="132">
        <v>38930</v>
      </c>
      <c r="B157" s="246">
        <f t="shared" si="9"/>
        <v>10.68</v>
      </c>
      <c r="C157" s="249">
        <v>1</v>
      </c>
      <c r="D157" s="254">
        <f t="shared" si="8"/>
        <v>10.68</v>
      </c>
      <c r="E157" s="316">
        <v>248</v>
      </c>
      <c r="F157" s="64">
        <f t="shared" si="10"/>
        <v>2648.64</v>
      </c>
    </row>
    <row r="158" spans="1:6" ht="10.5" customHeight="1">
      <c r="A158" s="132">
        <v>38961</v>
      </c>
      <c r="B158" s="246">
        <f t="shared" si="9"/>
        <v>10.68</v>
      </c>
      <c r="C158" s="249">
        <v>1</v>
      </c>
      <c r="D158" s="254">
        <f t="shared" si="8"/>
        <v>10.68</v>
      </c>
      <c r="E158" s="316">
        <v>240</v>
      </c>
      <c r="F158" s="64">
        <f t="shared" si="10"/>
        <v>2563.2</v>
      </c>
    </row>
    <row r="159" spans="1:6" ht="10.5" customHeight="1">
      <c r="A159" s="132">
        <v>38991</v>
      </c>
      <c r="B159" s="246">
        <f t="shared" si="9"/>
        <v>10.68</v>
      </c>
      <c r="C159" s="249">
        <v>1</v>
      </c>
      <c r="D159" s="254">
        <f t="shared" si="8"/>
        <v>10.68</v>
      </c>
      <c r="E159" s="316">
        <v>248</v>
      </c>
      <c r="F159" s="64">
        <f t="shared" si="10"/>
        <v>2648.64</v>
      </c>
    </row>
    <row r="160" spans="1:6" ht="10.5" customHeight="1">
      <c r="A160" s="132">
        <v>39022</v>
      </c>
      <c r="B160" s="246">
        <f t="shared" si="9"/>
        <v>10.68</v>
      </c>
      <c r="C160" s="249">
        <v>1</v>
      </c>
      <c r="D160" s="254">
        <f t="shared" si="8"/>
        <v>10.68</v>
      </c>
      <c r="E160" s="316">
        <v>240</v>
      </c>
      <c r="F160" s="64">
        <f t="shared" si="10"/>
        <v>2563.2</v>
      </c>
    </row>
    <row r="161" spans="1:6" ht="10.5" customHeight="1">
      <c r="A161" s="132">
        <v>39052</v>
      </c>
      <c r="B161" s="246">
        <v>10.68</v>
      </c>
      <c r="C161" s="249">
        <v>1</v>
      </c>
      <c r="D161" s="254">
        <f t="shared" si="8"/>
        <v>10.68</v>
      </c>
      <c r="E161" s="316">
        <v>248</v>
      </c>
      <c r="F161" s="64">
        <f t="shared" si="10"/>
        <v>2648.64</v>
      </c>
    </row>
    <row r="162" spans="1:6" ht="10.5" customHeight="1">
      <c r="A162" s="132">
        <v>39083</v>
      </c>
      <c r="B162" s="246">
        <f>D161</f>
        <v>10.68</v>
      </c>
      <c r="C162" s="249">
        <v>1.05</v>
      </c>
      <c r="D162" s="254">
        <f aca="true" t="shared" si="11" ref="D162:D223">B162*C162</f>
        <v>11.21</v>
      </c>
      <c r="E162" s="316">
        <v>248</v>
      </c>
      <c r="F162" s="64">
        <f t="shared" si="10"/>
        <v>2780.08</v>
      </c>
    </row>
    <row r="163" spans="1:6" ht="10.5" customHeight="1">
      <c r="A163" s="132">
        <v>39114</v>
      </c>
      <c r="B163" s="246">
        <f aca="true" t="shared" si="12" ref="B163:B223">D162</f>
        <v>11.21</v>
      </c>
      <c r="C163" s="249">
        <v>1</v>
      </c>
      <c r="D163" s="254">
        <f t="shared" si="11"/>
        <v>11.21</v>
      </c>
      <c r="E163" s="316">
        <v>224</v>
      </c>
      <c r="F163" s="64">
        <f t="shared" si="10"/>
        <v>2511.04</v>
      </c>
    </row>
    <row r="164" spans="1:6" ht="10.5" customHeight="1">
      <c r="A164" s="132">
        <v>39142</v>
      </c>
      <c r="B164" s="246">
        <f t="shared" si="12"/>
        <v>11.21</v>
      </c>
      <c r="C164" s="249">
        <v>1</v>
      </c>
      <c r="D164" s="254">
        <f t="shared" si="11"/>
        <v>11.21</v>
      </c>
      <c r="E164" s="316">
        <v>248</v>
      </c>
      <c r="F164" s="64">
        <f t="shared" si="10"/>
        <v>2780.08</v>
      </c>
    </row>
    <row r="165" spans="1:6" ht="10.5" customHeight="1">
      <c r="A165" s="132">
        <v>39173</v>
      </c>
      <c r="B165" s="246">
        <f t="shared" si="12"/>
        <v>11.21</v>
      </c>
      <c r="C165" s="249">
        <v>1</v>
      </c>
      <c r="D165" s="254">
        <f t="shared" si="11"/>
        <v>11.21</v>
      </c>
      <c r="E165" s="316">
        <v>240</v>
      </c>
      <c r="F165" s="64">
        <f t="shared" si="10"/>
        <v>2690.4</v>
      </c>
    </row>
    <row r="166" spans="1:6" ht="10.5" customHeight="1">
      <c r="A166" s="132">
        <v>39203</v>
      </c>
      <c r="B166" s="246">
        <f t="shared" si="12"/>
        <v>11.21</v>
      </c>
      <c r="C166" s="249">
        <v>1</v>
      </c>
      <c r="D166" s="254">
        <f t="shared" si="11"/>
        <v>11.21</v>
      </c>
      <c r="E166" s="316">
        <v>248</v>
      </c>
      <c r="F166" s="64">
        <f t="shared" si="10"/>
        <v>2780.08</v>
      </c>
    </row>
    <row r="167" spans="1:6" ht="10.5" customHeight="1">
      <c r="A167" s="132">
        <v>39234</v>
      </c>
      <c r="B167" s="246">
        <f t="shared" si="12"/>
        <v>11.21</v>
      </c>
      <c r="C167" s="249">
        <v>1</v>
      </c>
      <c r="D167" s="254">
        <f t="shared" si="11"/>
        <v>11.21</v>
      </c>
      <c r="E167" s="316">
        <v>240</v>
      </c>
      <c r="F167" s="64">
        <f t="shared" si="10"/>
        <v>2690.4</v>
      </c>
    </row>
    <row r="168" spans="1:6" ht="10.5" customHeight="1">
      <c r="A168" s="132">
        <v>39264</v>
      </c>
      <c r="B168" s="246">
        <f t="shared" si="12"/>
        <v>11.21</v>
      </c>
      <c r="C168" s="249">
        <v>1</v>
      </c>
      <c r="D168" s="254">
        <f t="shared" si="11"/>
        <v>11.21</v>
      </c>
      <c r="E168" s="316">
        <v>248</v>
      </c>
      <c r="F168" s="64">
        <f t="shared" si="10"/>
        <v>2780.08</v>
      </c>
    </row>
    <row r="169" spans="1:6" ht="10.5" customHeight="1">
      <c r="A169" s="132">
        <v>39295</v>
      </c>
      <c r="B169" s="246">
        <f t="shared" si="12"/>
        <v>11.21</v>
      </c>
      <c r="C169" s="249">
        <v>1</v>
      </c>
      <c r="D169" s="254">
        <f t="shared" si="11"/>
        <v>11.21</v>
      </c>
      <c r="E169" s="316">
        <v>248</v>
      </c>
      <c r="F169" s="64">
        <f t="shared" si="10"/>
        <v>2780.08</v>
      </c>
    </row>
    <row r="170" spans="1:6" ht="10.5" customHeight="1">
      <c r="A170" s="132">
        <v>39326</v>
      </c>
      <c r="B170" s="246">
        <f t="shared" si="12"/>
        <v>11.21</v>
      </c>
      <c r="C170" s="249">
        <v>1</v>
      </c>
      <c r="D170" s="254">
        <f t="shared" si="11"/>
        <v>11.21</v>
      </c>
      <c r="E170" s="316">
        <v>240</v>
      </c>
      <c r="F170" s="64">
        <f t="shared" si="10"/>
        <v>2690.4</v>
      </c>
    </row>
    <row r="171" spans="1:6" ht="10.5" customHeight="1">
      <c r="A171" s="132">
        <v>39356</v>
      </c>
      <c r="B171" s="246">
        <f t="shared" si="12"/>
        <v>11.21</v>
      </c>
      <c r="C171" s="249">
        <v>1</v>
      </c>
      <c r="D171" s="254">
        <f t="shared" si="11"/>
        <v>11.21</v>
      </c>
      <c r="E171" s="316">
        <v>248</v>
      </c>
      <c r="F171" s="64">
        <f t="shared" si="10"/>
        <v>2780.08</v>
      </c>
    </row>
    <row r="172" spans="1:6" ht="10.5" customHeight="1">
      <c r="A172" s="132">
        <v>39387</v>
      </c>
      <c r="B172" s="246">
        <f t="shared" si="12"/>
        <v>11.21</v>
      </c>
      <c r="C172" s="249">
        <v>1</v>
      </c>
      <c r="D172" s="254">
        <f t="shared" si="11"/>
        <v>11.21</v>
      </c>
      <c r="E172" s="316">
        <v>240</v>
      </c>
      <c r="F172" s="64">
        <f t="shared" si="10"/>
        <v>2690.4</v>
      </c>
    </row>
    <row r="173" spans="1:6" ht="10.5" customHeight="1">
      <c r="A173" s="132">
        <v>39417</v>
      </c>
      <c r="B173" s="246">
        <f t="shared" si="12"/>
        <v>11.21</v>
      </c>
      <c r="C173" s="249">
        <v>1</v>
      </c>
      <c r="D173" s="254">
        <f t="shared" si="11"/>
        <v>11.21</v>
      </c>
      <c r="E173" s="316">
        <v>248</v>
      </c>
      <c r="F173" s="64">
        <f t="shared" si="10"/>
        <v>2780.08</v>
      </c>
    </row>
    <row r="174" spans="1:6" ht="10.5" customHeight="1">
      <c r="A174" s="132">
        <v>39448</v>
      </c>
      <c r="B174" s="246">
        <f t="shared" si="12"/>
        <v>11.21</v>
      </c>
      <c r="C174" s="249">
        <v>1.0745</v>
      </c>
      <c r="D174" s="254">
        <f t="shared" si="11"/>
        <v>12.05</v>
      </c>
      <c r="E174" s="316">
        <v>248</v>
      </c>
      <c r="F174" s="64">
        <f t="shared" si="10"/>
        <v>2988.4</v>
      </c>
    </row>
    <row r="175" spans="1:6" ht="10.5" customHeight="1">
      <c r="A175" s="132">
        <v>39479</v>
      </c>
      <c r="B175" s="246">
        <f t="shared" si="12"/>
        <v>12.05</v>
      </c>
      <c r="C175" s="249">
        <v>1</v>
      </c>
      <c r="D175" s="254">
        <f t="shared" si="11"/>
        <v>12.05</v>
      </c>
      <c r="E175" s="316">
        <v>232</v>
      </c>
      <c r="F175" s="64">
        <f t="shared" si="10"/>
        <v>2795.6</v>
      </c>
    </row>
    <row r="176" spans="1:6" ht="10.5" customHeight="1">
      <c r="A176" s="132">
        <v>39508</v>
      </c>
      <c r="B176" s="246">
        <f t="shared" si="12"/>
        <v>12.05</v>
      </c>
      <c r="C176" s="249">
        <v>1</v>
      </c>
      <c r="D176" s="254">
        <f t="shared" si="11"/>
        <v>12.05</v>
      </c>
      <c r="E176" s="316">
        <v>248</v>
      </c>
      <c r="F176" s="64">
        <f t="shared" si="10"/>
        <v>2988.4</v>
      </c>
    </row>
    <row r="177" spans="1:6" s="182" customFormat="1" ht="10.5" customHeight="1">
      <c r="A177" s="132">
        <v>39539</v>
      </c>
      <c r="B177" s="246">
        <f t="shared" si="12"/>
        <v>12.05</v>
      </c>
      <c r="C177" s="249">
        <v>1</v>
      </c>
      <c r="D177" s="254">
        <f t="shared" si="11"/>
        <v>12.05</v>
      </c>
      <c r="E177" s="316">
        <v>240</v>
      </c>
      <c r="F177" s="64">
        <f t="shared" si="10"/>
        <v>2892</v>
      </c>
    </row>
    <row r="178" spans="1:6" ht="10.5" customHeight="1">
      <c r="A178" s="132">
        <v>39569</v>
      </c>
      <c r="B178" s="246">
        <f t="shared" si="12"/>
        <v>12.05</v>
      </c>
      <c r="C178" s="249">
        <v>1</v>
      </c>
      <c r="D178" s="254">
        <f t="shared" si="11"/>
        <v>12.05</v>
      </c>
      <c r="E178" s="316">
        <v>248</v>
      </c>
      <c r="F178" s="64">
        <f t="shared" si="10"/>
        <v>2988.4</v>
      </c>
    </row>
    <row r="179" spans="1:6" ht="10.5" customHeight="1">
      <c r="A179" s="132">
        <v>39600</v>
      </c>
      <c r="B179" s="246">
        <f t="shared" si="12"/>
        <v>12.05</v>
      </c>
      <c r="C179" s="249">
        <v>1</v>
      </c>
      <c r="D179" s="254">
        <f t="shared" si="11"/>
        <v>12.05</v>
      </c>
      <c r="E179" s="316">
        <v>240</v>
      </c>
      <c r="F179" s="64">
        <f t="shared" si="10"/>
        <v>2892</v>
      </c>
    </row>
    <row r="180" spans="1:6" ht="10.5" customHeight="1">
      <c r="A180" s="132">
        <v>39630</v>
      </c>
      <c r="B180" s="246">
        <f t="shared" si="12"/>
        <v>12.05</v>
      </c>
      <c r="C180" s="249">
        <v>1</v>
      </c>
      <c r="D180" s="254">
        <f t="shared" si="11"/>
        <v>12.05</v>
      </c>
      <c r="E180" s="316">
        <v>248</v>
      </c>
      <c r="F180" s="64">
        <f t="shared" si="10"/>
        <v>2988.4</v>
      </c>
    </row>
    <row r="181" spans="1:6" ht="10.5" customHeight="1">
      <c r="A181" s="132">
        <v>39661</v>
      </c>
      <c r="B181" s="246">
        <f t="shared" si="12"/>
        <v>12.05</v>
      </c>
      <c r="C181" s="249">
        <v>1</v>
      </c>
      <c r="D181" s="254">
        <f t="shared" si="11"/>
        <v>12.05</v>
      </c>
      <c r="E181" s="316">
        <v>248</v>
      </c>
      <c r="F181" s="64">
        <f t="shared" si="10"/>
        <v>2988.4</v>
      </c>
    </row>
    <row r="182" spans="1:6" ht="10.5" customHeight="1">
      <c r="A182" s="132">
        <v>39692</v>
      </c>
      <c r="B182" s="246">
        <f t="shared" si="12"/>
        <v>12.05</v>
      </c>
      <c r="C182" s="249">
        <v>1</v>
      </c>
      <c r="D182" s="254">
        <f t="shared" si="11"/>
        <v>12.05</v>
      </c>
      <c r="E182" s="316">
        <v>240</v>
      </c>
      <c r="F182" s="64">
        <f t="shared" si="10"/>
        <v>2892</v>
      </c>
    </row>
    <row r="183" spans="1:6" ht="10.5" customHeight="1">
      <c r="A183" s="132">
        <v>39722</v>
      </c>
      <c r="B183" s="246">
        <f t="shared" si="12"/>
        <v>12.05</v>
      </c>
      <c r="C183" s="249">
        <v>1</v>
      </c>
      <c r="D183" s="254">
        <f t="shared" si="11"/>
        <v>12.05</v>
      </c>
      <c r="E183" s="316">
        <v>248</v>
      </c>
      <c r="F183" s="64">
        <f t="shared" si="10"/>
        <v>2988.4</v>
      </c>
    </row>
    <row r="184" spans="1:6" ht="10.5" customHeight="1">
      <c r="A184" s="132">
        <v>39753</v>
      </c>
      <c r="B184" s="246">
        <f t="shared" si="12"/>
        <v>12.05</v>
      </c>
      <c r="C184" s="249">
        <v>1</v>
      </c>
      <c r="D184" s="254">
        <f t="shared" si="11"/>
        <v>12.05</v>
      </c>
      <c r="E184" s="316">
        <v>240</v>
      </c>
      <c r="F184" s="64">
        <f t="shared" si="10"/>
        <v>2892</v>
      </c>
    </row>
    <row r="185" spans="1:6" ht="10.5" customHeight="1">
      <c r="A185" s="132">
        <v>39783</v>
      </c>
      <c r="B185" s="246">
        <f t="shared" si="12"/>
        <v>12.05</v>
      </c>
      <c r="C185" s="249">
        <v>1</v>
      </c>
      <c r="D185" s="254">
        <f t="shared" si="11"/>
        <v>12.05</v>
      </c>
      <c r="E185" s="316">
        <v>248</v>
      </c>
      <c r="F185" s="64">
        <f t="shared" si="10"/>
        <v>2988.4</v>
      </c>
    </row>
    <row r="186" spans="1:6" ht="10.5" customHeight="1">
      <c r="A186" s="132">
        <v>39814</v>
      </c>
      <c r="B186" s="246">
        <f t="shared" si="12"/>
        <v>12.05</v>
      </c>
      <c r="C186" s="249">
        <v>1.1112</v>
      </c>
      <c r="D186" s="254">
        <f t="shared" si="11"/>
        <v>13.39</v>
      </c>
      <c r="E186" s="316">
        <v>248</v>
      </c>
      <c r="F186" s="64">
        <f t="shared" si="10"/>
        <v>3320.72</v>
      </c>
    </row>
    <row r="187" spans="1:6" ht="10.5" customHeight="1">
      <c r="A187" s="132">
        <v>39845</v>
      </c>
      <c r="B187" s="246">
        <f t="shared" si="12"/>
        <v>13.39</v>
      </c>
      <c r="C187" s="249">
        <v>1</v>
      </c>
      <c r="D187" s="254">
        <f t="shared" si="11"/>
        <v>13.39</v>
      </c>
      <c r="E187" s="316">
        <v>224</v>
      </c>
      <c r="F187" s="64">
        <f t="shared" si="10"/>
        <v>2999.36</v>
      </c>
    </row>
    <row r="188" spans="1:6" ht="10.5" customHeight="1">
      <c r="A188" s="132">
        <v>39873</v>
      </c>
      <c r="B188" s="246">
        <f t="shared" si="12"/>
        <v>13.39</v>
      </c>
      <c r="C188" s="249">
        <v>1</v>
      </c>
      <c r="D188" s="254">
        <f t="shared" si="11"/>
        <v>13.39</v>
      </c>
      <c r="E188" s="316">
        <v>248</v>
      </c>
      <c r="F188" s="64">
        <f t="shared" si="10"/>
        <v>3320.72</v>
      </c>
    </row>
    <row r="189" spans="1:6" ht="10.5" customHeight="1">
      <c r="A189" s="132">
        <v>39904</v>
      </c>
      <c r="B189" s="246">
        <f t="shared" si="12"/>
        <v>13.39</v>
      </c>
      <c r="C189" s="249">
        <v>1</v>
      </c>
      <c r="D189" s="254">
        <f t="shared" si="11"/>
        <v>13.39</v>
      </c>
      <c r="E189" s="316">
        <v>240</v>
      </c>
      <c r="F189" s="64">
        <f t="shared" si="10"/>
        <v>3213.6</v>
      </c>
    </row>
    <row r="190" spans="1:6" ht="10.5" customHeight="1">
      <c r="A190" s="132">
        <v>39934</v>
      </c>
      <c r="B190" s="246">
        <f t="shared" si="12"/>
        <v>13.39</v>
      </c>
      <c r="C190" s="249">
        <v>1</v>
      </c>
      <c r="D190" s="254">
        <f t="shared" si="11"/>
        <v>13.39</v>
      </c>
      <c r="E190" s="316">
        <v>248</v>
      </c>
      <c r="F190" s="64">
        <f t="shared" si="10"/>
        <v>3320.72</v>
      </c>
    </row>
    <row r="191" spans="1:6" ht="10.5" customHeight="1">
      <c r="A191" s="132">
        <v>39965</v>
      </c>
      <c r="B191" s="246">
        <f t="shared" si="12"/>
        <v>13.39</v>
      </c>
      <c r="C191" s="249">
        <v>1</v>
      </c>
      <c r="D191" s="254">
        <f t="shared" si="11"/>
        <v>13.39</v>
      </c>
      <c r="E191" s="316">
        <v>240</v>
      </c>
      <c r="F191" s="64">
        <f t="shared" si="10"/>
        <v>3213.6</v>
      </c>
    </row>
    <row r="192" spans="1:6" ht="10.5" customHeight="1">
      <c r="A192" s="132">
        <v>39995</v>
      </c>
      <c r="B192" s="246">
        <f t="shared" si="12"/>
        <v>13.39</v>
      </c>
      <c r="C192" s="249">
        <v>1</v>
      </c>
      <c r="D192" s="254">
        <f t="shared" si="11"/>
        <v>13.39</v>
      </c>
      <c r="E192" s="316">
        <v>248</v>
      </c>
      <c r="F192" s="64">
        <f t="shared" si="10"/>
        <v>3320.72</v>
      </c>
    </row>
    <row r="193" spans="1:6" ht="10.5" customHeight="1">
      <c r="A193" s="132">
        <v>40026</v>
      </c>
      <c r="B193" s="246">
        <f t="shared" si="12"/>
        <v>13.39</v>
      </c>
      <c r="C193" s="249">
        <v>1</v>
      </c>
      <c r="D193" s="254">
        <f t="shared" si="11"/>
        <v>13.39</v>
      </c>
      <c r="E193" s="316">
        <v>248</v>
      </c>
      <c r="F193" s="64">
        <f t="shared" si="10"/>
        <v>3320.72</v>
      </c>
    </row>
    <row r="194" spans="1:11" ht="10.5" customHeight="1">
      <c r="A194" s="132">
        <v>40057</v>
      </c>
      <c r="B194" s="246">
        <f t="shared" si="12"/>
        <v>13.39</v>
      </c>
      <c r="C194" s="249">
        <v>1</v>
      </c>
      <c r="D194" s="254">
        <f t="shared" si="11"/>
        <v>13.39</v>
      </c>
      <c r="E194" s="316">
        <v>240</v>
      </c>
      <c r="F194" s="64">
        <f t="shared" si="10"/>
        <v>3213.6</v>
      </c>
      <c r="G194" s="247"/>
      <c r="H194" s="247"/>
      <c r="I194" s="247"/>
      <c r="J194" s="247"/>
      <c r="K194" s="247"/>
    </row>
    <row r="195" spans="1:11" ht="10.5" customHeight="1">
      <c r="A195" s="132">
        <v>40087</v>
      </c>
      <c r="B195" s="246">
        <f t="shared" si="12"/>
        <v>13.39</v>
      </c>
      <c r="C195" s="249">
        <v>1</v>
      </c>
      <c r="D195" s="254">
        <f t="shared" si="11"/>
        <v>13.39</v>
      </c>
      <c r="E195" s="316">
        <v>248</v>
      </c>
      <c r="F195" s="64">
        <f t="shared" si="10"/>
        <v>3320.72</v>
      </c>
      <c r="G195" s="247"/>
      <c r="H195" s="247"/>
      <c r="I195" s="247"/>
      <c r="J195" s="247"/>
      <c r="K195" s="247"/>
    </row>
    <row r="196" spans="1:11" ht="10.5" customHeight="1">
      <c r="A196" s="132">
        <v>40118</v>
      </c>
      <c r="B196" s="246">
        <f t="shared" si="12"/>
        <v>13.39</v>
      </c>
      <c r="C196" s="249">
        <v>1</v>
      </c>
      <c r="D196" s="254">
        <f t="shared" si="11"/>
        <v>13.39</v>
      </c>
      <c r="E196" s="316">
        <v>240</v>
      </c>
      <c r="F196" s="64">
        <f t="shared" si="10"/>
        <v>3213.6</v>
      </c>
      <c r="G196" s="247"/>
      <c r="H196" s="247"/>
      <c r="I196" s="247"/>
      <c r="J196" s="247"/>
      <c r="K196" s="247"/>
    </row>
    <row r="197" spans="1:15" ht="10.5" customHeight="1">
      <c r="A197" s="132">
        <v>40148</v>
      </c>
      <c r="B197" s="246">
        <f t="shared" si="12"/>
        <v>13.39</v>
      </c>
      <c r="C197" s="249">
        <v>1</v>
      </c>
      <c r="D197" s="254">
        <f t="shared" si="11"/>
        <v>13.39</v>
      </c>
      <c r="E197" s="316">
        <v>248</v>
      </c>
      <c r="F197" s="64">
        <f t="shared" si="10"/>
        <v>3320.72</v>
      </c>
      <c r="I197" s="235"/>
      <c r="J197" s="235"/>
      <c r="K197" s="235"/>
      <c r="L197" s="235"/>
      <c r="M197" s="235"/>
      <c r="O197" s="248"/>
    </row>
    <row r="198" spans="1:6" ht="10.5" customHeight="1">
      <c r="A198" s="132">
        <v>40179</v>
      </c>
      <c r="B198" s="246">
        <f t="shared" si="12"/>
        <v>13.39</v>
      </c>
      <c r="C198" s="249">
        <v>1.0653</v>
      </c>
      <c r="D198" s="254">
        <f t="shared" si="11"/>
        <v>14.26</v>
      </c>
      <c r="E198" s="316">
        <v>248</v>
      </c>
      <c r="F198" s="64">
        <f t="shared" si="10"/>
        <v>3536.48</v>
      </c>
    </row>
    <row r="199" spans="1:6" ht="10.5" customHeight="1">
      <c r="A199" s="132">
        <v>40210</v>
      </c>
      <c r="B199" s="246">
        <f t="shared" si="12"/>
        <v>14.26</v>
      </c>
      <c r="C199" s="249">
        <v>1</v>
      </c>
      <c r="D199" s="254">
        <f t="shared" si="11"/>
        <v>14.26</v>
      </c>
      <c r="E199" s="316">
        <v>224</v>
      </c>
      <c r="F199" s="64">
        <f t="shared" si="10"/>
        <v>3194.24</v>
      </c>
    </row>
    <row r="200" spans="1:10" ht="10.5" customHeight="1">
      <c r="A200" s="132">
        <v>40238</v>
      </c>
      <c r="B200" s="246">
        <f t="shared" si="12"/>
        <v>14.26</v>
      </c>
      <c r="C200" s="249">
        <v>1</v>
      </c>
      <c r="D200" s="254">
        <f t="shared" si="11"/>
        <v>14.26</v>
      </c>
      <c r="E200" s="316">
        <v>248</v>
      </c>
      <c r="F200" s="64">
        <f t="shared" si="10"/>
        <v>3536.48</v>
      </c>
      <c r="I200" s="235"/>
      <c r="J200" s="235"/>
    </row>
    <row r="201" spans="1:11" ht="10.5" customHeight="1">
      <c r="A201" s="132">
        <v>40269</v>
      </c>
      <c r="B201" s="246">
        <f t="shared" si="12"/>
        <v>14.26</v>
      </c>
      <c r="C201" s="249">
        <v>1</v>
      </c>
      <c r="D201" s="254">
        <f t="shared" si="11"/>
        <v>14.26</v>
      </c>
      <c r="E201" s="316">
        <v>240</v>
      </c>
      <c r="F201" s="64">
        <f t="shared" si="10"/>
        <v>3422.4</v>
      </c>
      <c r="I201" s="235"/>
      <c r="J201" s="235"/>
      <c r="K201" s="235"/>
    </row>
    <row r="202" spans="1:6" ht="10.5" customHeight="1">
      <c r="A202" s="132">
        <v>40299</v>
      </c>
      <c r="B202" s="246">
        <f t="shared" si="12"/>
        <v>14.26</v>
      </c>
      <c r="C202" s="249">
        <v>1</v>
      </c>
      <c r="D202" s="254">
        <f t="shared" si="11"/>
        <v>14.26</v>
      </c>
      <c r="E202" s="316">
        <v>248</v>
      </c>
      <c r="F202" s="64">
        <f t="shared" si="10"/>
        <v>3536.48</v>
      </c>
    </row>
    <row r="203" spans="1:6" ht="10.5" customHeight="1">
      <c r="A203" s="132">
        <v>40330</v>
      </c>
      <c r="B203" s="246">
        <f t="shared" si="12"/>
        <v>14.26</v>
      </c>
      <c r="C203" s="249">
        <v>1</v>
      </c>
      <c r="D203" s="254">
        <f t="shared" si="11"/>
        <v>14.26</v>
      </c>
      <c r="E203" s="316">
        <v>240</v>
      </c>
      <c r="F203" s="64">
        <f t="shared" si="10"/>
        <v>3422.4</v>
      </c>
    </row>
    <row r="204" spans="1:6" ht="10.5" customHeight="1">
      <c r="A204" s="132">
        <v>40360</v>
      </c>
      <c r="B204" s="246">
        <f t="shared" si="12"/>
        <v>14.26</v>
      </c>
      <c r="C204" s="249">
        <v>1</v>
      </c>
      <c r="D204" s="254">
        <f t="shared" si="11"/>
        <v>14.26</v>
      </c>
      <c r="E204" s="316">
        <v>248</v>
      </c>
      <c r="F204" s="64">
        <f t="shared" si="10"/>
        <v>3536.48</v>
      </c>
    </row>
    <row r="205" spans="1:6" ht="10.5" customHeight="1">
      <c r="A205" s="132">
        <v>40391</v>
      </c>
      <c r="B205" s="246">
        <f t="shared" si="12"/>
        <v>14.26</v>
      </c>
      <c r="C205" s="249">
        <v>1</v>
      </c>
      <c r="D205" s="254">
        <f t="shared" si="11"/>
        <v>14.26</v>
      </c>
      <c r="E205" s="316">
        <v>248</v>
      </c>
      <c r="F205" s="64">
        <f t="shared" si="10"/>
        <v>3536.48</v>
      </c>
    </row>
    <row r="206" spans="1:6" ht="10.5" customHeight="1">
      <c r="A206" s="132">
        <v>40422</v>
      </c>
      <c r="B206" s="246">
        <f t="shared" si="12"/>
        <v>14.26</v>
      </c>
      <c r="C206" s="249">
        <v>1</v>
      </c>
      <c r="D206" s="254">
        <f t="shared" si="11"/>
        <v>14.26</v>
      </c>
      <c r="E206" s="316">
        <v>240</v>
      </c>
      <c r="F206" s="64">
        <f t="shared" si="10"/>
        <v>3422.4</v>
      </c>
    </row>
    <row r="207" spans="1:6" ht="10.5" customHeight="1">
      <c r="A207" s="132">
        <v>40452</v>
      </c>
      <c r="B207" s="246">
        <f t="shared" si="12"/>
        <v>14.26</v>
      </c>
      <c r="C207" s="249">
        <v>1</v>
      </c>
      <c r="D207" s="254">
        <f t="shared" si="11"/>
        <v>14.26</v>
      </c>
      <c r="E207" s="316">
        <v>248</v>
      </c>
      <c r="F207" s="64">
        <f t="shared" si="10"/>
        <v>3536.48</v>
      </c>
    </row>
    <row r="208" spans="1:6" ht="10.5" customHeight="1">
      <c r="A208" s="132">
        <v>40483</v>
      </c>
      <c r="B208" s="246">
        <f t="shared" si="12"/>
        <v>14.26</v>
      </c>
      <c r="C208" s="249">
        <v>1</v>
      </c>
      <c r="D208" s="254">
        <f t="shared" si="11"/>
        <v>14.26</v>
      </c>
      <c r="E208" s="316">
        <v>240</v>
      </c>
      <c r="F208" s="64">
        <f t="shared" si="10"/>
        <v>3422.4</v>
      </c>
    </row>
    <row r="209" spans="1:6" ht="10.5" customHeight="1">
      <c r="A209" s="132">
        <v>40513</v>
      </c>
      <c r="B209" s="246">
        <f t="shared" si="12"/>
        <v>14.26</v>
      </c>
      <c r="C209" s="249">
        <v>1</v>
      </c>
      <c r="D209" s="254">
        <f t="shared" si="11"/>
        <v>14.26</v>
      </c>
      <c r="E209" s="316">
        <v>248</v>
      </c>
      <c r="F209" s="64">
        <f t="shared" si="10"/>
        <v>3536.48</v>
      </c>
    </row>
    <row r="210" spans="1:6" ht="10.5" customHeight="1">
      <c r="A210" s="132">
        <v>40544</v>
      </c>
      <c r="B210" s="246">
        <f t="shared" si="12"/>
        <v>14.26</v>
      </c>
      <c r="C210" s="249">
        <v>1.09</v>
      </c>
      <c r="D210" s="254">
        <f t="shared" si="11"/>
        <v>15.54</v>
      </c>
      <c r="E210" s="316">
        <v>248</v>
      </c>
      <c r="F210" s="64">
        <f t="shared" si="10"/>
        <v>3853.92</v>
      </c>
    </row>
    <row r="211" spans="1:6" ht="10.5" customHeight="1">
      <c r="A211" s="132">
        <v>40575</v>
      </c>
      <c r="B211" s="246">
        <f t="shared" si="12"/>
        <v>15.54</v>
      </c>
      <c r="C211" s="249">
        <v>1</v>
      </c>
      <c r="D211" s="254">
        <f t="shared" si="11"/>
        <v>15.54</v>
      </c>
      <c r="E211" s="316">
        <v>224</v>
      </c>
      <c r="F211" s="64">
        <f t="shared" si="10"/>
        <v>3480.96</v>
      </c>
    </row>
    <row r="212" spans="1:6" ht="10.5" customHeight="1">
      <c r="A212" s="132">
        <v>40603</v>
      </c>
      <c r="B212" s="246">
        <f t="shared" si="12"/>
        <v>15.54</v>
      </c>
      <c r="C212" s="249">
        <v>1</v>
      </c>
      <c r="D212" s="254">
        <f t="shared" si="11"/>
        <v>15.54</v>
      </c>
      <c r="E212" s="316">
        <v>248</v>
      </c>
      <c r="F212" s="64">
        <f t="shared" si="10"/>
        <v>3853.92</v>
      </c>
    </row>
    <row r="213" spans="1:6" ht="10.5" customHeight="1">
      <c r="A213" s="132">
        <v>40634</v>
      </c>
      <c r="B213" s="246">
        <f t="shared" si="12"/>
        <v>15.54</v>
      </c>
      <c r="C213" s="249">
        <v>1</v>
      </c>
      <c r="D213" s="254">
        <f t="shared" si="11"/>
        <v>15.54</v>
      </c>
      <c r="E213" s="316">
        <v>240</v>
      </c>
      <c r="F213" s="64">
        <f t="shared" si="10"/>
        <v>3729.6</v>
      </c>
    </row>
    <row r="214" spans="1:6" ht="10.5" customHeight="1">
      <c r="A214" s="132">
        <v>40664</v>
      </c>
      <c r="B214" s="246">
        <f t="shared" si="12"/>
        <v>15.54</v>
      </c>
      <c r="C214" s="249">
        <v>1</v>
      </c>
      <c r="D214" s="254">
        <f t="shared" si="11"/>
        <v>15.54</v>
      </c>
      <c r="E214" s="316">
        <v>248</v>
      </c>
      <c r="F214" s="64">
        <f aca="true" t="shared" si="13" ref="F214:F243">D214*E214</f>
        <v>3853.92</v>
      </c>
    </row>
    <row r="215" spans="1:6" ht="10.5" customHeight="1">
      <c r="A215" s="132">
        <v>40695</v>
      </c>
      <c r="B215" s="246">
        <f t="shared" si="12"/>
        <v>15.54</v>
      </c>
      <c r="C215" s="249">
        <v>1</v>
      </c>
      <c r="D215" s="254">
        <f t="shared" si="11"/>
        <v>15.54</v>
      </c>
      <c r="E215" s="316">
        <v>240</v>
      </c>
      <c r="F215" s="64">
        <f t="shared" si="13"/>
        <v>3729.6</v>
      </c>
    </row>
    <row r="216" spans="1:6" ht="10.5" customHeight="1">
      <c r="A216" s="132">
        <v>40725</v>
      </c>
      <c r="B216" s="246">
        <f t="shared" si="12"/>
        <v>15.54</v>
      </c>
      <c r="C216" s="249">
        <v>1</v>
      </c>
      <c r="D216" s="254">
        <f t="shared" si="11"/>
        <v>15.54</v>
      </c>
      <c r="E216" s="316">
        <v>248</v>
      </c>
      <c r="F216" s="64">
        <f t="shared" si="13"/>
        <v>3853.92</v>
      </c>
    </row>
    <row r="217" spans="1:6" ht="10.5" customHeight="1">
      <c r="A217" s="132">
        <v>40756</v>
      </c>
      <c r="B217" s="246">
        <f t="shared" si="12"/>
        <v>15.54</v>
      </c>
      <c r="C217" s="249">
        <v>1</v>
      </c>
      <c r="D217" s="254">
        <f t="shared" si="11"/>
        <v>15.54</v>
      </c>
      <c r="E217" s="316">
        <v>248</v>
      </c>
      <c r="F217" s="64">
        <f t="shared" si="13"/>
        <v>3853.92</v>
      </c>
    </row>
    <row r="218" spans="1:6" ht="10.5" customHeight="1">
      <c r="A218" s="132">
        <v>40787</v>
      </c>
      <c r="B218" s="246">
        <f t="shared" si="12"/>
        <v>15.54</v>
      </c>
      <c r="C218" s="249">
        <v>1</v>
      </c>
      <c r="D218" s="254">
        <f t="shared" si="11"/>
        <v>15.54</v>
      </c>
      <c r="E218" s="316">
        <v>240</v>
      </c>
      <c r="F218" s="64">
        <f t="shared" si="13"/>
        <v>3729.6</v>
      </c>
    </row>
    <row r="219" spans="1:6" ht="10.5" customHeight="1">
      <c r="A219" s="132">
        <v>40817</v>
      </c>
      <c r="B219" s="246">
        <f t="shared" si="12"/>
        <v>15.54</v>
      </c>
      <c r="C219" s="249">
        <v>1</v>
      </c>
      <c r="D219" s="254">
        <f t="shared" si="11"/>
        <v>15.54</v>
      </c>
      <c r="E219" s="316">
        <v>248</v>
      </c>
      <c r="F219" s="64">
        <f t="shared" si="13"/>
        <v>3853.92</v>
      </c>
    </row>
    <row r="220" spans="1:6" ht="10.5" customHeight="1">
      <c r="A220" s="132">
        <v>40848</v>
      </c>
      <c r="B220" s="246">
        <f t="shared" si="12"/>
        <v>15.54</v>
      </c>
      <c r="C220" s="249">
        <v>1</v>
      </c>
      <c r="D220" s="254">
        <f t="shared" si="11"/>
        <v>15.54</v>
      </c>
      <c r="E220" s="316">
        <v>240</v>
      </c>
      <c r="F220" s="64">
        <f t="shared" si="13"/>
        <v>3729.6</v>
      </c>
    </row>
    <row r="221" spans="1:6" ht="10.5" customHeight="1">
      <c r="A221" s="132">
        <v>40878</v>
      </c>
      <c r="B221" s="246">
        <f t="shared" si="12"/>
        <v>15.54</v>
      </c>
      <c r="C221" s="249">
        <v>1</v>
      </c>
      <c r="D221" s="254">
        <f t="shared" si="11"/>
        <v>15.54</v>
      </c>
      <c r="E221" s="316">
        <v>248</v>
      </c>
      <c r="F221" s="64">
        <f t="shared" si="13"/>
        <v>3853.92</v>
      </c>
    </row>
    <row r="222" spans="1:6" ht="10.5" customHeight="1">
      <c r="A222" s="132">
        <v>40909</v>
      </c>
      <c r="B222" s="246">
        <f t="shared" si="12"/>
        <v>15.54</v>
      </c>
      <c r="C222" s="249">
        <v>1.1</v>
      </c>
      <c r="D222" s="254">
        <f t="shared" si="11"/>
        <v>17.09</v>
      </c>
      <c r="E222" s="316">
        <v>248</v>
      </c>
      <c r="F222" s="64">
        <f t="shared" si="13"/>
        <v>4238.32</v>
      </c>
    </row>
    <row r="223" spans="1:6" ht="10.5" customHeight="1">
      <c r="A223" s="132">
        <v>40940</v>
      </c>
      <c r="B223" s="246">
        <f t="shared" si="12"/>
        <v>17.09</v>
      </c>
      <c r="C223" s="249">
        <v>1</v>
      </c>
      <c r="D223" s="254">
        <f t="shared" si="11"/>
        <v>17.09</v>
      </c>
      <c r="E223" s="316">
        <v>232</v>
      </c>
      <c r="F223" s="64">
        <f t="shared" si="13"/>
        <v>3964.88</v>
      </c>
    </row>
    <row r="224" spans="1:6" ht="10.5" customHeight="1">
      <c r="A224" s="132">
        <v>40969</v>
      </c>
      <c r="B224" s="246">
        <f aca="true" t="shared" si="14" ref="B224:B243">D223</f>
        <v>17.09</v>
      </c>
      <c r="C224" s="249">
        <v>1</v>
      </c>
      <c r="D224" s="254">
        <f aca="true" t="shared" si="15" ref="D224:D243">B224*C224</f>
        <v>17.09</v>
      </c>
      <c r="E224" s="316">
        <v>248</v>
      </c>
      <c r="F224" s="64">
        <f t="shared" si="13"/>
        <v>4238.32</v>
      </c>
    </row>
    <row r="225" spans="1:10" ht="10.5" customHeight="1">
      <c r="A225" s="132">
        <v>41000</v>
      </c>
      <c r="B225" s="246">
        <f t="shared" si="14"/>
        <v>17.09</v>
      </c>
      <c r="C225" s="249">
        <v>1</v>
      </c>
      <c r="D225" s="254">
        <f t="shared" si="15"/>
        <v>17.09</v>
      </c>
      <c r="E225" s="316">
        <v>240</v>
      </c>
      <c r="F225" s="64">
        <f t="shared" si="13"/>
        <v>4101.6</v>
      </c>
      <c r="I225" s="235"/>
      <c r="J225" s="235"/>
    </row>
    <row r="226" spans="1:11" ht="10.5" customHeight="1">
      <c r="A226" s="132">
        <v>41030</v>
      </c>
      <c r="B226" s="246">
        <f t="shared" si="14"/>
        <v>17.09</v>
      </c>
      <c r="C226" s="249">
        <v>1</v>
      </c>
      <c r="D226" s="254">
        <f t="shared" si="15"/>
        <v>17.09</v>
      </c>
      <c r="E226" s="316">
        <v>248</v>
      </c>
      <c r="F226" s="64">
        <f t="shared" si="13"/>
        <v>4238.32</v>
      </c>
      <c r="I226" s="235"/>
      <c r="J226" s="235"/>
      <c r="K226" s="235"/>
    </row>
    <row r="227" spans="1:6" ht="10.5" customHeight="1">
      <c r="A227" s="132">
        <v>41061</v>
      </c>
      <c r="B227" s="246">
        <f t="shared" si="14"/>
        <v>17.09</v>
      </c>
      <c r="C227" s="249">
        <v>1</v>
      </c>
      <c r="D227" s="254">
        <f t="shared" si="15"/>
        <v>17.09</v>
      </c>
      <c r="E227" s="316">
        <v>240</v>
      </c>
      <c r="F227" s="64">
        <f t="shared" si="13"/>
        <v>4101.6</v>
      </c>
    </row>
    <row r="228" spans="1:6" ht="10.5" customHeight="1">
      <c r="A228" s="132">
        <v>41091</v>
      </c>
      <c r="B228" s="246">
        <f t="shared" si="14"/>
        <v>17.09</v>
      </c>
      <c r="C228" s="249">
        <v>1</v>
      </c>
      <c r="D228" s="254">
        <f t="shared" si="15"/>
        <v>17.09</v>
      </c>
      <c r="E228" s="316">
        <v>248</v>
      </c>
      <c r="F228" s="64">
        <f t="shared" si="13"/>
        <v>4238.32</v>
      </c>
    </row>
    <row r="229" spans="1:6" ht="10.5" customHeight="1">
      <c r="A229" s="132">
        <v>41122</v>
      </c>
      <c r="B229" s="246">
        <f t="shared" si="14"/>
        <v>17.09</v>
      </c>
      <c r="C229" s="249">
        <v>1</v>
      </c>
      <c r="D229" s="254">
        <f t="shared" si="15"/>
        <v>17.09</v>
      </c>
      <c r="E229" s="316">
        <v>248</v>
      </c>
      <c r="F229" s="64">
        <f t="shared" si="13"/>
        <v>4238.32</v>
      </c>
    </row>
    <row r="230" spans="1:6" ht="10.5" customHeight="1">
      <c r="A230" s="132">
        <v>41153</v>
      </c>
      <c r="B230" s="246">
        <f t="shared" si="14"/>
        <v>17.09</v>
      </c>
      <c r="C230" s="249">
        <v>1</v>
      </c>
      <c r="D230" s="254">
        <f t="shared" si="15"/>
        <v>17.09</v>
      </c>
      <c r="E230" s="316">
        <v>240</v>
      </c>
      <c r="F230" s="64">
        <f t="shared" si="13"/>
        <v>4101.6</v>
      </c>
    </row>
    <row r="231" spans="1:6" ht="10.5" customHeight="1">
      <c r="A231" s="132">
        <v>41183</v>
      </c>
      <c r="B231" s="246">
        <f t="shared" si="14"/>
        <v>17.09</v>
      </c>
      <c r="C231" s="249">
        <v>1</v>
      </c>
      <c r="D231" s="254">
        <f t="shared" si="15"/>
        <v>17.09</v>
      </c>
      <c r="E231" s="316">
        <v>248</v>
      </c>
      <c r="F231" s="64">
        <f t="shared" si="13"/>
        <v>4238.32</v>
      </c>
    </row>
    <row r="232" spans="1:6" ht="10.5" customHeight="1">
      <c r="A232" s="132">
        <v>41214</v>
      </c>
      <c r="B232" s="246">
        <f t="shared" si="14"/>
        <v>17.09</v>
      </c>
      <c r="C232" s="249">
        <v>1</v>
      </c>
      <c r="D232" s="254">
        <f t="shared" si="15"/>
        <v>17.09</v>
      </c>
      <c r="E232" s="316">
        <v>240</v>
      </c>
      <c r="F232" s="64">
        <f t="shared" si="13"/>
        <v>4101.6</v>
      </c>
    </row>
    <row r="233" spans="1:6" ht="10.5" customHeight="1">
      <c r="A233" s="132">
        <v>41244</v>
      </c>
      <c r="B233" s="246">
        <f t="shared" si="14"/>
        <v>17.09</v>
      </c>
      <c r="C233" s="249">
        <v>1</v>
      </c>
      <c r="D233" s="254">
        <f t="shared" si="15"/>
        <v>17.09</v>
      </c>
      <c r="E233" s="316">
        <v>248</v>
      </c>
      <c r="F233" s="64">
        <f t="shared" si="13"/>
        <v>4238.32</v>
      </c>
    </row>
    <row r="234" spans="1:6" ht="10.5" customHeight="1">
      <c r="A234" s="132">
        <v>41275</v>
      </c>
      <c r="B234" s="246">
        <f t="shared" si="14"/>
        <v>17.09</v>
      </c>
      <c r="C234" s="249">
        <v>1.08</v>
      </c>
      <c r="D234" s="254">
        <f t="shared" si="15"/>
        <v>18.46</v>
      </c>
      <c r="E234" s="316">
        <v>248</v>
      </c>
      <c r="F234" s="64">
        <f t="shared" si="13"/>
        <v>4578.08</v>
      </c>
    </row>
    <row r="235" spans="1:6" ht="10.5" customHeight="1">
      <c r="A235" s="132">
        <v>41306</v>
      </c>
      <c r="B235" s="246">
        <f t="shared" si="14"/>
        <v>18.46</v>
      </c>
      <c r="C235" s="249">
        <v>1</v>
      </c>
      <c r="D235" s="254">
        <f t="shared" si="15"/>
        <v>18.46</v>
      </c>
      <c r="E235" s="316">
        <v>224</v>
      </c>
      <c r="F235" s="64">
        <f t="shared" si="13"/>
        <v>4135.04</v>
      </c>
    </row>
    <row r="236" spans="1:6" ht="10.5" customHeight="1">
      <c r="A236" s="132">
        <v>41334</v>
      </c>
      <c r="B236" s="246">
        <f t="shared" si="14"/>
        <v>18.46</v>
      </c>
      <c r="C236" s="249">
        <v>1</v>
      </c>
      <c r="D236" s="254">
        <f t="shared" si="15"/>
        <v>18.46</v>
      </c>
      <c r="E236" s="316">
        <v>248</v>
      </c>
      <c r="F236" s="64">
        <f t="shared" si="13"/>
        <v>4578.08</v>
      </c>
    </row>
    <row r="237" spans="1:6" ht="10.5" customHeight="1">
      <c r="A237" s="132">
        <v>41365</v>
      </c>
      <c r="B237" s="246">
        <f t="shared" si="14"/>
        <v>18.46</v>
      </c>
      <c r="C237" s="249">
        <v>1</v>
      </c>
      <c r="D237" s="254">
        <f t="shared" si="15"/>
        <v>18.46</v>
      </c>
      <c r="E237" s="316">
        <v>240</v>
      </c>
      <c r="F237" s="64">
        <f t="shared" si="13"/>
        <v>4430.4</v>
      </c>
    </row>
    <row r="238" spans="1:6" ht="10.5" customHeight="1">
      <c r="A238" s="132">
        <v>41395</v>
      </c>
      <c r="B238" s="246">
        <f t="shared" si="14"/>
        <v>18.46</v>
      </c>
      <c r="C238" s="249">
        <v>1</v>
      </c>
      <c r="D238" s="254">
        <f t="shared" si="15"/>
        <v>18.46</v>
      </c>
      <c r="E238" s="316">
        <v>248</v>
      </c>
      <c r="F238" s="64">
        <f t="shared" si="13"/>
        <v>4578.08</v>
      </c>
    </row>
    <row r="239" spans="1:6" ht="10.5" customHeight="1">
      <c r="A239" s="132">
        <v>41426</v>
      </c>
      <c r="B239" s="246">
        <f t="shared" si="14"/>
        <v>18.46</v>
      </c>
      <c r="C239" s="249">
        <v>1</v>
      </c>
      <c r="D239" s="254">
        <f t="shared" si="15"/>
        <v>18.46</v>
      </c>
      <c r="E239" s="316">
        <v>240</v>
      </c>
      <c r="F239" s="64">
        <f t="shared" si="13"/>
        <v>4430.4</v>
      </c>
    </row>
    <row r="240" spans="1:6" ht="10.5" customHeight="1">
      <c r="A240" s="132">
        <v>41456</v>
      </c>
      <c r="B240" s="246">
        <f t="shared" si="14"/>
        <v>18.46</v>
      </c>
      <c r="C240" s="249">
        <v>1</v>
      </c>
      <c r="D240" s="254">
        <f t="shared" si="15"/>
        <v>18.46</v>
      </c>
      <c r="E240" s="316">
        <v>248</v>
      </c>
      <c r="F240" s="64">
        <f t="shared" si="13"/>
        <v>4578.08</v>
      </c>
    </row>
    <row r="241" spans="1:6" ht="10.5" customHeight="1">
      <c r="A241" s="132">
        <v>41487</v>
      </c>
      <c r="B241" s="246">
        <f t="shared" si="14"/>
        <v>18.46</v>
      </c>
      <c r="C241" s="249">
        <v>1</v>
      </c>
      <c r="D241" s="254">
        <f t="shared" si="15"/>
        <v>18.46</v>
      </c>
      <c r="E241" s="316">
        <v>248</v>
      </c>
      <c r="F241" s="64">
        <f t="shared" si="13"/>
        <v>4578.08</v>
      </c>
    </row>
    <row r="242" spans="1:6" ht="10.5" customHeight="1">
      <c r="A242" s="132">
        <v>41518</v>
      </c>
      <c r="B242" s="246">
        <f t="shared" si="14"/>
        <v>18.46</v>
      </c>
      <c r="C242" s="249">
        <v>1</v>
      </c>
      <c r="D242" s="254">
        <f t="shared" si="15"/>
        <v>18.46</v>
      </c>
      <c r="E242" s="316">
        <v>240</v>
      </c>
      <c r="F242" s="64">
        <f t="shared" si="13"/>
        <v>4430.4</v>
      </c>
    </row>
    <row r="243" spans="1:6" ht="10.5" customHeight="1">
      <c r="A243" s="132">
        <v>41548</v>
      </c>
      <c r="B243" s="246">
        <f t="shared" si="14"/>
        <v>18.46</v>
      </c>
      <c r="C243" s="249">
        <v>1</v>
      </c>
      <c r="D243" s="254">
        <f t="shared" si="15"/>
        <v>18.46</v>
      </c>
      <c r="E243" s="316">
        <v>248</v>
      </c>
      <c r="F243" s="64">
        <f t="shared" si="13"/>
        <v>4578.08</v>
      </c>
    </row>
    <row r="246" spans="3:5" ht="11.25" customHeight="1">
      <c r="C246" s="232"/>
      <c r="D246" s="232"/>
      <c r="E246" s="232" t="s">
        <v>373</v>
      </c>
    </row>
    <row r="247" spans="3:5" ht="11.25" customHeight="1">
      <c r="C247" s="421"/>
      <c r="D247" s="421" t="s">
        <v>374</v>
      </c>
      <c r="E247" s="232"/>
    </row>
  </sheetData>
  <sheetProtection/>
  <hyperlinks>
    <hyperlink ref="D247" r:id="rId1" display="www.sentenca.com.br"/>
  </hyperlinks>
  <printOptions/>
  <pageMargins left="1.496062992125984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&amp;R
&amp;"Tahoma,Normal"&amp;8Anexo : 01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42"/>
  <sheetViews>
    <sheetView showGridLines="0" zoomScalePageLayoutView="0" workbookViewId="0" topLeftCell="A1">
      <selection activeCell="P14" sqref="P14"/>
    </sheetView>
  </sheetViews>
  <sheetFormatPr defaultColWidth="11.421875" defaultRowHeight="12.75"/>
  <cols>
    <col min="1" max="1" width="9.140625" style="1" customWidth="1"/>
    <col min="2" max="2" width="0.5625" style="1" hidden="1" customWidth="1"/>
    <col min="3" max="3" width="9.421875" style="1" customWidth="1"/>
    <col min="4" max="4" width="11.140625" style="1" customWidth="1"/>
    <col min="5" max="5" width="9.00390625" style="1" customWidth="1"/>
    <col min="6" max="6" width="10.28125" style="1" customWidth="1"/>
    <col min="7" max="7" width="10.140625" style="1" customWidth="1"/>
    <col min="8" max="8" width="9.140625" style="1" customWidth="1"/>
    <col min="9" max="9" width="10.140625" style="1" customWidth="1"/>
    <col min="10" max="10" width="10.8515625" style="1" customWidth="1"/>
    <col min="11" max="11" width="9.8515625" style="1" customWidth="1"/>
    <col min="12" max="12" width="11.140625" style="1" customWidth="1"/>
    <col min="13" max="13" width="11.421875" style="1" customWidth="1"/>
    <col min="14" max="14" width="14.00390625" style="1" customWidth="1"/>
    <col min="15" max="16384" width="11.421875" style="1" customWidth="1"/>
  </cols>
  <sheetData>
    <row r="1" spans="1:4" s="420" customFormat="1" ht="14.25" customHeight="1">
      <c r="A1" s="419" t="s">
        <v>376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ht="10.5" customHeight="1">
      <c r="A4" s="1" t="s">
        <v>229</v>
      </c>
    </row>
    <row r="5" ht="10.5" customHeight="1">
      <c r="A5" s="2" t="s">
        <v>402</v>
      </c>
    </row>
    <row r="6" ht="10.5" customHeight="1">
      <c r="A6" s="2" t="s">
        <v>403</v>
      </c>
    </row>
    <row r="7" spans="1:15" s="205" customFormat="1" ht="10.5">
      <c r="A7" s="41"/>
      <c r="B7" s="41"/>
      <c r="C7" s="41"/>
      <c r="D7" s="41"/>
      <c r="E7" s="41"/>
      <c r="F7" s="41"/>
      <c r="G7" s="41"/>
      <c r="H7" s="41"/>
      <c r="I7" s="41"/>
      <c r="J7" s="261"/>
      <c r="K7" s="262"/>
      <c r="L7" s="262"/>
      <c r="M7" s="262"/>
      <c r="N7" s="262"/>
      <c r="O7" s="262"/>
    </row>
    <row r="8" spans="1:5" ht="10.5" customHeight="1">
      <c r="A8" s="1" t="s">
        <v>367</v>
      </c>
      <c r="B8" s="181"/>
      <c r="C8" s="181"/>
      <c r="D8" s="181"/>
      <c r="E8" s="339"/>
    </row>
    <row r="9" spans="1:5" ht="10.5" customHeight="1">
      <c r="A9" s="1" t="s">
        <v>368</v>
      </c>
      <c r="B9" s="181"/>
      <c r="C9" s="181"/>
      <c r="D9" s="181"/>
      <c r="E9" s="339"/>
    </row>
    <row r="10" spans="1:5" s="2" customFormat="1" ht="10.5" customHeight="1">
      <c r="A10" s="2" t="s">
        <v>375</v>
      </c>
      <c r="B10" s="422"/>
      <c r="C10" s="422"/>
      <c r="D10" s="422"/>
      <c r="E10" s="423"/>
    </row>
    <row r="11" spans="1:5" ht="10.5" customHeight="1">
      <c r="A11" s="1" t="s">
        <v>359</v>
      </c>
      <c r="B11" s="181"/>
      <c r="C11" s="181"/>
      <c r="D11" s="181"/>
      <c r="E11" s="181"/>
    </row>
    <row r="12" ht="15" customHeight="1" thickBot="1"/>
    <row r="13" spans="1:14" ht="11.25" customHeight="1" thickBot="1" thickTop="1">
      <c r="A13" s="12" t="s">
        <v>1</v>
      </c>
      <c r="B13" s="15"/>
      <c r="C13" s="8" t="s">
        <v>2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13</v>
      </c>
      <c r="I13" s="8" t="s">
        <v>48</v>
      </c>
      <c r="J13" s="8" t="s">
        <v>49</v>
      </c>
      <c r="K13" s="8" t="s">
        <v>50</v>
      </c>
      <c r="L13" s="8" t="s">
        <v>159</v>
      </c>
      <c r="M13" s="8" t="s">
        <v>160</v>
      </c>
      <c r="N13" s="8" t="s">
        <v>161</v>
      </c>
    </row>
    <row r="14" spans="1:2" ht="10.5" customHeight="1" thickBot="1" thickTop="1">
      <c r="A14" s="3"/>
      <c r="B14" s="3"/>
    </row>
    <row r="15" spans="1:14" s="9" customFormat="1" ht="10.5" customHeight="1" thickTop="1">
      <c r="A15" s="25" t="s">
        <v>191</v>
      </c>
      <c r="B15" s="31"/>
      <c r="C15" s="34" t="s">
        <v>10</v>
      </c>
      <c r="D15" s="34" t="s">
        <v>51</v>
      </c>
      <c r="E15" s="124" t="s">
        <v>56</v>
      </c>
      <c r="F15" s="124" t="s">
        <v>57</v>
      </c>
      <c r="G15" s="34" t="s">
        <v>58</v>
      </c>
      <c r="H15" s="124" t="s">
        <v>186</v>
      </c>
      <c r="I15" s="124" t="s">
        <v>168</v>
      </c>
      <c r="J15" s="34" t="s">
        <v>11</v>
      </c>
      <c r="K15" s="34" t="s">
        <v>15</v>
      </c>
      <c r="L15" s="34" t="s">
        <v>52</v>
      </c>
      <c r="M15" s="34" t="s">
        <v>17</v>
      </c>
      <c r="N15" s="26" t="s">
        <v>18</v>
      </c>
    </row>
    <row r="16" spans="1:14" s="9" customFormat="1" ht="10.5" customHeight="1">
      <c r="A16" s="13" t="s">
        <v>192</v>
      </c>
      <c r="B16" s="32"/>
      <c r="C16" s="14" t="s">
        <v>53</v>
      </c>
      <c r="D16" s="14" t="s">
        <v>188</v>
      </c>
      <c r="E16" s="122" t="s">
        <v>10</v>
      </c>
      <c r="F16" s="255" t="s">
        <v>60</v>
      </c>
      <c r="G16" s="256"/>
      <c r="H16" s="255" t="s">
        <v>195</v>
      </c>
      <c r="I16" s="255" t="s">
        <v>153</v>
      </c>
      <c r="J16" s="14" t="s">
        <v>20</v>
      </c>
      <c r="K16" s="14" t="s">
        <v>14</v>
      </c>
      <c r="L16" s="14" t="s">
        <v>25</v>
      </c>
      <c r="M16" s="14" t="s">
        <v>21</v>
      </c>
      <c r="N16" s="27" t="s">
        <v>22</v>
      </c>
    </row>
    <row r="17" spans="1:14" s="9" customFormat="1" ht="10.5" customHeight="1">
      <c r="A17" s="13"/>
      <c r="B17" s="32"/>
      <c r="C17" s="206" t="s">
        <v>183</v>
      </c>
      <c r="D17" s="14" t="s">
        <v>184</v>
      </c>
      <c r="E17" s="122"/>
      <c r="F17" s="122" t="s">
        <v>193</v>
      </c>
      <c r="G17" s="14"/>
      <c r="H17" s="122"/>
      <c r="I17" s="122" t="s">
        <v>14</v>
      </c>
      <c r="J17" s="14" t="s">
        <v>23</v>
      </c>
      <c r="K17" s="14" t="s">
        <v>24</v>
      </c>
      <c r="L17" s="36" t="s">
        <v>27</v>
      </c>
      <c r="M17" s="14" t="s">
        <v>16</v>
      </c>
      <c r="N17" s="27" t="s">
        <v>169</v>
      </c>
    </row>
    <row r="18" spans="1:14" s="9" customFormat="1" ht="10.5" customHeight="1">
      <c r="A18" s="13"/>
      <c r="B18" s="32"/>
      <c r="C18" s="14" t="s">
        <v>275</v>
      </c>
      <c r="D18" s="14" t="s">
        <v>185</v>
      </c>
      <c r="E18" s="122"/>
      <c r="F18" s="122" t="s">
        <v>194</v>
      </c>
      <c r="G18" s="14"/>
      <c r="H18" s="122"/>
      <c r="I18" s="122"/>
      <c r="J18" s="14" t="s">
        <v>26</v>
      </c>
      <c r="K18" s="14"/>
      <c r="L18" s="37" t="s">
        <v>28</v>
      </c>
      <c r="M18" s="14"/>
      <c r="N18" s="27" t="s">
        <v>170</v>
      </c>
    </row>
    <row r="19" spans="1:14" s="9" customFormat="1" ht="10.5" customHeight="1">
      <c r="A19" s="13"/>
      <c r="B19" s="32"/>
      <c r="C19" s="14" t="s">
        <v>19</v>
      </c>
      <c r="D19" s="14"/>
      <c r="E19" s="122"/>
      <c r="F19" s="122"/>
      <c r="G19" s="14"/>
      <c r="H19" s="122"/>
      <c r="I19" s="122"/>
      <c r="J19" s="67" t="s">
        <v>54</v>
      </c>
      <c r="K19" s="14"/>
      <c r="L19" s="67">
        <v>36648</v>
      </c>
      <c r="M19" s="14"/>
      <c r="N19" s="28" t="s">
        <v>158</v>
      </c>
    </row>
    <row r="20" spans="1:14" s="9" customFormat="1" ht="10.5" customHeight="1">
      <c r="A20" s="13"/>
      <c r="B20" s="32"/>
      <c r="C20" s="256" t="s">
        <v>230</v>
      </c>
      <c r="D20" s="14"/>
      <c r="E20" s="122"/>
      <c r="F20" s="122"/>
      <c r="G20" s="14"/>
      <c r="H20" s="122"/>
      <c r="I20" s="122"/>
      <c r="J20" s="98">
        <v>41944</v>
      </c>
      <c r="K20" s="14"/>
      <c r="L20" s="67" t="s">
        <v>179</v>
      </c>
      <c r="M20" s="14"/>
      <c r="N20" s="355">
        <v>41944</v>
      </c>
    </row>
    <row r="21" spans="1:14" s="9" customFormat="1" ht="10.5" customHeight="1" thickBot="1">
      <c r="A21" s="29"/>
      <c r="B21" s="33"/>
      <c r="C21" s="347" t="s">
        <v>231</v>
      </c>
      <c r="D21" s="35"/>
      <c r="E21" s="123"/>
      <c r="F21" s="123"/>
      <c r="G21" s="258" t="s">
        <v>196</v>
      </c>
      <c r="H21" s="123" t="s">
        <v>187</v>
      </c>
      <c r="I21" s="123" t="s">
        <v>162</v>
      </c>
      <c r="J21" s="35"/>
      <c r="K21" s="35" t="s">
        <v>197</v>
      </c>
      <c r="L21" s="307">
        <v>41944</v>
      </c>
      <c r="M21" s="35" t="s">
        <v>190</v>
      </c>
      <c r="N21" s="30" t="s">
        <v>198</v>
      </c>
    </row>
    <row r="22" spans="1:14" ht="10.5" customHeight="1" thickTop="1">
      <c r="A22" s="3"/>
      <c r="B22" s="3"/>
      <c r="E22" s="16"/>
      <c r="F22" s="16"/>
      <c r="G22" s="16"/>
      <c r="H22" s="16"/>
      <c r="I22" s="16"/>
      <c r="J22" s="20"/>
      <c r="K22" s="16"/>
      <c r="L22" s="21"/>
      <c r="M22" s="16"/>
      <c r="N22" s="16"/>
    </row>
    <row r="23" spans="1:14" ht="10.5" customHeight="1">
      <c r="A23" s="413">
        <v>36090</v>
      </c>
      <c r="B23" s="319"/>
      <c r="C23" s="319" t="s">
        <v>360</v>
      </c>
      <c r="D23" s="318"/>
      <c r="E23" s="322" t="s">
        <v>236</v>
      </c>
      <c r="F23" s="320" t="s">
        <v>239</v>
      </c>
      <c r="G23" s="320">
        <v>-1339.2</v>
      </c>
      <c r="H23" s="10">
        <v>0</v>
      </c>
      <c r="I23" s="317">
        <v>-1339.2</v>
      </c>
      <c r="J23" s="345">
        <f>Plan1!G43</f>
        <v>1.389535112</v>
      </c>
      <c r="K23" s="346">
        <f>I23*J23</f>
        <v>-1860.87</v>
      </c>
      <c r="L23" s="10">
        <f>8+12+12+12+12+12+12+12+12+12+12+12+12+12+10</f>
        <v>174</v>
      </c>
      <c r="M23" s="10">
        <f aca="true" t="shared" si="0" ref="M23:M87">(K23*L23%)</f>
        <v>-3237.91</v>
      </c>
      <c r="N23" s="11">
        <f aca="true" t="shared" si="1" ref="N23:N87">K23+M23</f>
        <v>-5098.78</v>
      </c>
    </row>
    <row r="24" spans="1:17" ht="10.5" customHeight="1">
      <c r="A24" s="142">
        <v>36617</v>
      </c>
      <c r="B24" s="259"/>
      <c r="C24" s="321">
        <f>'01'!F81</f>
        <v>1437.6</v>
      </c>
      <c r="D24" s="321">
        <f>C24/30*5</f>
        <v>239.6</v>
      </c>
      <c r="E24" s="321">
        <v>0</v>
      </c>
      <c r="F24" s="321">
        <v>0</v>
      </c>
      <c r="G24" s="10">
        <f>D24+E24+F24</f>
        <v>239.6</v>
      </c>
      <c r="H24" s="10">
        <f>G24*8%</f>
        <v>19.17</v>
      </c>
      <c r="I24" s="10">
        <f>G24+H24</f>
        <v>258.77</v>
      </c>
      <c r="J24" s="19">
        <f>Plan1!I38</f>
        <v>1.274898757</v>
      </c>
      <c r="K24" s="10">
        <f>I24*J24</f>
        <v>329.91</v>
      </c>
      <c r="L24" s="10">
        <v>174</v>
      </c>
      <c r="M24" s="10">
        <f t="shared" si="0"/>
        <v>574.04</v>
      </c>
      <c r="N24" s="11">
        <f t="shared" si="1"/>
        <v>903.95</v>
      </c>
      <c r="P24" s="2"/>
      <c r="Q24" s="2"/>
    </row>
    <row r="25" spans="1:14" ht="10.5" customHeight="1">
      <c r="A25" s="142">
        <v>36647</v>
      </c>
      <c r="B25" s="259"/>
      <c r="C25" s="321">
        <f>'01'!F82</f>
        <v>1485.52</v>
      </c>
      <c r="D25" s="10">
        <f>C25</f>
        <v>1485.52</v>
      </c>
      <c r="E25" s="10">
        <v>0</v>
      </c>
      <c r="F25" s="10">
        <v>0</v>
      </c>
      <c r="G25" s="10">
        <f aca="true" t="shared" si="2" ref="G25:G88">D25+E25+F25</f>
        <v>1485.52</v>
      </c>
      <c r="H25" s="10">
        <f aca="true" t="shared" si="3" ref="H25:H88">G25*8%</f>
        <v>118.84</v>
      </c>
      <c r="I25" s="10">
        <f aca="true" t="shared" si="4" ref="I25:I88">G25+H25</f>
        <v>1604.36</v>
      </c>
      <c r="J25" s="19">
        <f>Plan1!I39</f>
        <v>1.271729607</v>
      </c>
      <c r="K25" s="10">
        <f aca="true" t="shared" si="5" ref="K25:K88">I25*J25</f>
        <v>2040.31</v>
      </c>
      <c r="L25" s="10">
        <f>L24-1</f>
        <v>173</v>
      </c>
      <c r="M25" s="10">
        <f t="shared" si="0"/>
        <v>3529.74</v>
      </c>
      <c r="N25" s="11">
        <f t="shared" si="1"/>
        <v>5570.05</v>
      </c>
    </row>
    <row r="26" spans="1:14" ht="10.5" customHeight="1">
      <c r="A26" s="142">
        <v>36678</v>
      </c>
      <c r="B26" s="259"/>
      <c r="C26" s="321">
        <f>'01'!F83</f>
        <v>1437.6</v>
      </c>
      <c r="D26" s="10">
        <f aca="true" t="shared" si="6" ref="D26:D89">C26</f>
        <v>1437.6</v>
      </c>
      <c r="E26" s="10">
        <v>0</v>
      </c>
      <c r="F26" s="10">
        <v>0</v>
      </c>
      <c r="G26" s="10">
        <f t="shared" si="2"/>
        <v>1437.6</v>
      </c>
      <c r="H26" s="10">
        <f t="shared" si="3"/>
        <v>115.01</v>
      </c>
      <c r="I26" s="10">
        <f t="shared" si="4"/>
        <v>1552.61</v>
      </c>
      <c r="J26" s="19">
        <f>Plan1!I40</f>
        <v>1.269013917</v>
      </c>
      <c r="K26" s="10">
        <f t="shared" si="5"/>
        <v>1970.28</v>
      </c>
      <c r="L26" s="10">
        <f aca="true" t="shared" si="7" ref="L26:L89">L25-1</f>
        <v>172</v>
      </c>
      <c r="M26" s="10">
        <f t="shared" si="0"/>
        <v>3388.88</v>
      </c>
      <c r="N26" s="11">
        <f t="shared" si="1"/>
        <v>5359.16</v>
      </c>
    </row>
    <row r="27" spans="1:14" ht="10.5" customHeight="1">
      <c r="A27" s="142">
        <v>36708</v>
      </c>
      <c r="B27" s="259"/>
      <c r="C27" s="321">
        <f>'01'!F84</f>
        <v>1485.52</v>
      </c>
      <c r="D27" s="10">
        <f t="shared" si="6"/>
        <v>1485.52</v>
      </c>
      <c r="E27" s="10">
        <v>0</v>
      </c>
      <c r="F27" s="10">
        <v>0</v>
      </c>
      <c r="G27" s="10">
        <f t="shared" si="2"/>
        <v>1485.52</v>
      </c>
      <c r="H27" s="10">
        <f t="shared" si="3"/>
        <v>118.84</v>
      </c>
      <c r="I27" s="10">
        <f t="shared" si="4"/>
        <v>1604.36</v>
      </c>
      <c r="J27" s="19">
        <f>Plan1!I41</f>
        <v>1.267053785</v>
      </c>
      <c r="K27" s="10">
        <f t="shared" si="5"/>
        <v>2032.81</v>
      </c>
      <c r="L27" s="10">
        <f t="shared" si="7"/>
        <v>171</v>
      </c>
      <c r="M27" s="10">
        <f t="shared" si="0"/>
        <v>3476.11</v>
      </c>
      <c r="N27" s="11">
        <f t="shared" si="1"/>
        <v>5508.92</v>
      </c>
    </row>
    <row r="28" spans="1:14" ht="10.5" customHeight="1">
      <c r="A28" s="142">
        <v>36739</v>
      </c>
      <c r="B28" s="259"/>
      <c r="C28" s="321">
        <f>'01'!F85</f>
        <v>1485.52</v>
      </c>
      <c r="D28" s="10">
        <f t="shared" si="6"/>
        <v>1485.52</v>
      </c>
      <c r="E28" s="10">
        <v>0</v>
      </c>
      <c r="F28" s="10">
        <v>0</v>
      </c>
      <c r="G28" s="10">
        <f t="shared" si="2"/>
        <v>1485.52</v>
      </c>
      <c r="H28" s="10">
        <f t="shared" si="3"/>
        <v>118.84</v>
      </c>
      <c r="I28" s="10">
        <f t="shared" si="4"/>
        <v>1604.36</v>
      </c>
      <c r="J28" s="19">
        <f>Plan1!I42</f>
        <v>1.264493186</v>
      </c>
      <c r="K28" s="10">
        <f t="shared" si="5"/>
        <v>2028.7</v>
      </c>
      <c r="L28" s="10">
        <f t="shared" si="7"/>
        <v>170</v>
      </c>
      <c r="M28" s="10">
        <f t="shared" si="0"/>
        <v>3448.79</v>
      </c>
      <c r="N28" s="11">
        <f t="shared" si="1"/>
        <v>5477.49</v>
      </c>
    </row>
    <row r="29" spans="1:14" ht="10.5" customHeight="1">
      <c r="A29" s="142">
        <v>36770</v>
      </c>
      <c r="B29" s="259"/>
      <c r="C29" s="321">
        <f>'01'!F86</f>
        <v>1437.6</v>
      </c>
      <c r="D29" s="10">
        <f t="shared" si="6"/>
        <v>1437.6</v>
      </c>
      <c r="E29" s="10">
        <v>0</v>
      </c>
      <c r="F29" s="10">
        <v>0</v>
      </c>
      <c r="G29" s="10">
        <f t="shared" si="2"/>
        <v>1437.6</v>
      </c>
      <c r="H29" s="10">
        <f t="shared" si="3"/>
        <v>115.01</v>
      </c>
      <c r="I29" s="10">
        <f t="shared" si="4"/>
        <v>1552.61</v>
      </c>
      <c r="J29" s="19">
        <f>Plan1!I43</f>
        <v>1.263182004</v>
      </c>
      <c r="K29" s="10">
        <f t="shared" si="5"/>
        <v>1961.23</v>
      </c>
      <c r="L29" s="10">
        <f t="shared" si="7"/>
        <v>169</v>
      </c>
      <c r="M29" s="10">
        <f t="shared" si="0"/>
        <v>3314.48</v>
      </c>
      <c r="N29" s="11">
        <f t="shared" si="1"/>
        <v>5275.71</v>
      </c>
    </row>
    <row r="30" spans="1:14" ht="10.5" customHeight="1">
      <c r="A30" s="142">
        <v>36800</v>
      </c>
      <c r="B30" s="259"/>
      <c r="C30" s="321">
        <f>'01'!F87</f>
        <v>1485.52</v>
      </c>
      <c r="D30" s="10">
        <f t="shared" si="6"/>
        <v>1485.52</v>
      </c>
      <c r="E30" s="10">
        <v>0</v>
      </c>
      <c r="F30" s="10">
        <v>0</v>
      </c>
      <c r="G30" s="10">
        <f t="shared" si="2"/>
        <v>1485.52</v>
      </c>
      <c r="H30" s="10">
        <f t="shared" si="3"/>
        <v>118.84</v>
      </c>
      <c r="I30" s="10">
        <f t="shared" si="4"/>
        <v>1604.36</v>
      </c>
      <c r="J30" s="19">
        <f>Plan1!I44</f>
        <v>1.261521841</v>
      </c>
      <c r="K30" s="10">
        <f t="shared" si="5"/>
        <v>2023.94</v>
      </c>
      <c r="L30" s="10">
        <f t="shared" si="7"/>
        <v>168</v>
      </c>
      <c r="M30" s="10">
        <f t="shared" si="0"/>
        <v>3400.22</v>
      </c>
      <c r="N30" s="11">
        <f t="shared" si="1"/>
        <v>5424.16</v>
      </c>
    </row>
    <row r="31" spans="1:14" ht="10.5" customHeight="1">
      <c r="A31" s="142">
        <v>36831</v>
      </c>
      <c r="B31" s="259"/>
      <c r="C31" s="321">
        <f>'01'!F88</f>
        <v>1437.6</v>
      </c>
      <c r="D31" s="10">
        <f t="shared" si="6"/>
        <v>1437.6</v>
      </c>
      <c r="E31" s="10">
        <v>0</v>
      </c>
      <c r="F31" s="10">
        <v>0</v>
      </c>
      <c r="G31" s="10">
        <f t="shared" si="2"/>
        <v>1437.6</v>
      </c>
      <c r="H31" s="10">
        <f t="shared" si="3"/>
        <v>115.01</v>
      </c>
      <c r="I31" s="10">
        <f t="shared" si="4"/>
        <v>1552.61</v>
      </c>
      <c r="J31" s="19">
        <f>Plan1!I45</f>
        <v>1.260013605</v>
      </c>
      <c r="K31" s="10">
        <f t="shared" si="5"/>
        <v>1956.31</v>
      </c>
      <c r="L31" s="10">
        <f t="shared" si="7"/>
        <v>167</v>
      </c>
      <c r="M31" s="10">
        <f t="shared" si="0"/>
        <v>3267.04</v>
      </c>
      <c r="N31" s="11">
        <f t="shared" si="1"/>
        <v>5223.35</v>
      </c>
    </row>
    <row r="32" spans="1:14" ht="10.5" customHeight="1">
      <c r="A32" s="142">
        <v>36861</v>
      </c>
      <c r="B32" s="259"/>
      <c r="C32" s="321">
        <f>'01'!F89</f>
        <v>1485.52</v>
      </c>
      <c r="D32" s="10">
        <f t="shared" si="6"/>
        <v>1485.52</v>
      </c>
      <c r="E32" s="10">
        <f>D31/12*8</f>
        <v>958.4</v>
      </c>
      <c r="F32" s="10">
        <v>0</v>
      </c>
      <c r="G32" s="10">
        <f t="shared" si="2"/>
        <v>2443.92</v>
      </c>
      <c r="H32" s="10">
        <f t="shared" si="3"/>
        <v>195.51</v>
      </c>
      <c r="I32" s="10">
        <f t="shared" si="4"/>
        <v>2639.43</v>
      </c>
      <c r="J32" s="19">
        <f>Plan1!J34</f>
        <v>1.258766167</v>
      </c>
      <c r="K32" s="10">
        <f t="shared" si="5"/>
        <v>3322.43</v>
      </c>
      <c r="L32" s="10">
        <f t="shared" si="7"/>
        <v>166</v>
      </c>
      <c r="M32" s="10">
        <f t="shared" si="0"/>
        <v>5515.23</v>
      </c>
      <c r="N32" s="11">
        <f t="shared" si="1"/>
        <v>8837.66</v>
      </c>
    </row>
    <row r="33" spans="1:14" ht="10.5" customHeight="1">
      <c r="A33" s="142">
        <v>36892</v>
      </c>
      <c r="B33" s="259"/>
      <c r="C33" s="321">
        <f>'01'!F90</f>
        <v>1604.56</v>
      </c>
      <c r="D33" s="10">
        <f t="shared" si="6"/>
        <v>1604.56</v>
      </c>
      <c r="E33" s="10">
        <v>0</v>
      </c>
      <c r="F33" s="10">
        <v>0</v>
      </c>
      <c r="G33" s="10">
        <f t="shared" si="2"/>
        <v>1604.56</v>
      </c>
      <c r="H33" s="10">
        <f t="shared" si="3"/>
        <v>128.36</v>
      </c>
      <c r="I33" s="10">
        <f t="shared" si="4"/>
        <v>1732.92</v>
      </c>
      <c r="J33" s="19">
        <f>Plan1!J35</f>
        <v>1.257045272</v>
      </c>
      <c r="K33" s="10">
        <f t="shared" si="5"/>
        <v>2178.36</v>
      </c>
      <c r="L33" s="10">
        <f t="shared" si="7"/>
        <v>165</v>
      </c>
      <c r="M33" s="10">
        <f t="shared" si="0"/>
        <v>3594.29</v>
      </c>
      <c r="N33" s="11">
        <f t="shared" si="1"/>
        <v>5772.65</v>
      </c>
    </row>
    <row r="34" spans="1:14" ht="10.5" customHeight="1">
      <c r="A34" s="142">
        <v>36923</v>
      </c>
      <c r="B34" s="259"/>
      <c r="C34" s="321">
        <f>'01'!F91</f>
        <v>1449.28</v>
      </c>
      <c r="D34" s="10">
        <f t="shared" si="6"/>
        <v>1449.28</v>
      </c>
      <c r="E34" s="10">
        <v>0</v>
      </c>
      <c r="F34" s="10">
        <v>0</v>
      </c>
      <c r="G34" s="10">
        <f t="shared" si="2"/>
        <v>1449.28</v>
      </c>
      <c r="H34" s="10">
        <f t="shared" si="3"/>
        <v>115.94</v>
      </c>
      <c r="I34" s="10">
        <f t="shared" si="4"/>
        <v>1565.22</v>
      </c>
      <c r="J34" s="19">
        <f>Plan1!J36</f>
        <v>1.25658285</v>
      </c>
      <c r="K34" s="10">
        <f t="shared" si="5"/>
        <v>1966.83</v>
      </c>
      <c r="L34" s="10">
        <f t="shared" si="7"/>
        <v>164</v>
      </c>
      <c r="M34" s="10">
        <f t="shared" si="0"/>
        <v>3225.6</v>
      </c>
      <c r="N34" s="11">
        <f t="shared" si="1"/>
        <v>5192.43</v>
      </c>
    </row>
    <row r="35" spans="1:14" ht="10.5" customHeight="1">
      <c r="A35" s="142">
        <v>36951</v>
      </c>
      <c r="B35" s="259"/>
      <c r="C35" s="321">
        <f>'01'!F92</f>
        <v>1604.56</v>
      </c>
      <c r="D35" s="10">
        <f t="shared" si="6"/>
        <v>1604.56</v>
      </c>
      <c r="E35" s="10">
        <v>0</v>
      </c>
      <c r="F35" s="10">
        <v>0</v>
      </c>
      <c r="G35" s="10">
        <f t="shared" si="2"/>
        <v>1604.56</v>
      </c>
      <c r="H35" s="10">
        <f t="shared" si="3"/>
        <v>128.36</v>
      </c>
      <c r="I35" s="10">
        <f t="shared" si="4"/>
        <v>1732.92</v>
      </c>
      <c r="J35" s="19">
        <f>Plan1!J37</f>
        <v>1.254420229</v>
      </c>
      <c r="K35" s="10">
        <f t="shared" si="5"/>
        <v>2173.81</v>
      </c>
      <c r="L35" s="10">
        <f t="shared" si="7"/>
        <v>163</v>
      </c>
      <c r="M35" s="10">
        <f t="shared" si="0"/>
        <v>3543.31</v>
      </c>
      <c r="N35" s="11">
        <f t="shared" si="1"/>
        <v>5717.12</v>
      </c>
    </row>
    <row r="36" spans="1:14" ht="10.5" customHeight="1">
      <c r="A36" s="142">
        <v>36982</v>
      </c>
      <c r="B36" s="259"/>
      <c r="C36" s="321">
        <f>'01'!F93</f>
        <v>1552.8</v>
      </c>
      <c r="D36" s="10">
        <v>0</v>
      </c>
      <c r="E36" s="10">
        <v>0</v>
      </c>
      <c r="F36" s="10">
        <f>1552.8*1.333333</f>
        <v>2070.4</v>
      </c>
      <c r="G36" s="10">
        <f t="shared" si="2"/>
        <v>2070.4</v>
      </c>
      <c r="H36" s="10">
        <f t="shared" si="3"/>
        <v>165.63</v>
      </c>
      <c r="I36" s="10">
        <f t="shared" si="4"/>
        <v>2236.03</v>
      </c>
      <c r="J36" s="19">
        <f>Plan1!J38</f>
        <v>1.252483889</v>
      </c>
      <c r="K36" s="10">
        <f t="shared" si="5"/>
        <v>2800.59</v>
      </c>
      <c r="L36" s="10">
        <f t="shared" si="7"/>
        <v>162</v>
      </c>
      <c r="M36" s="10">
        <f t="shared" si="0"/>
        <v>4536.96</v>
      </c>
      <c r="N36" s="11">
        <f t="shared" si="1"/>
        <v>7337.55</v>
      </c>
    </row>
    <row r="37" spans="1:14" ht="10.5" customHeight="1">
      <c r="A37" s="142">
        <v>37012</v>
      </c>
      <c r="B37" s="259"/>
      <c r="C37" s="321">
        <f>'01'!F94</f>
        <v>1604.56</v>
      </c>
      <c r="D37" s="10">
        <f t="shared" si="6"/>
        <v>1604.56</v>
      </c>
      <c r="E37" s="10">
        <v>0</v>
      </c>
      <c r="F37" s="10">
        <v>0</v>
      </c>
      <c r="G37" s="10">
        <f t="shared" si="2"/>
        <v>1604.56</v>
      </c>
      <c r="H37" s="10">
        <f t="shared" si="3"/>
        <v>128.36</v>
      </c>
      <c r="I37" s="10">
        <f t="shared" si="4"/>
        <v>1732.92</v>
      </c>
      <c r="J37" s="19">
        <f>Plan1!J39</f>
        <v>1.250199774</v>
      </c>
      <c r="K37" s="10">
        <f t="shared" si="5"/>
        <v>2166.5</v>
      </c>
      <c r="L37" s="10">
        <f t="shared" si="7"/>
        <v>161</v>
      </c>
      <c r="M37" s="10">
        <f t="shared" si="0"/>
        <v>3488.07</v>
      </c>
      <c r="N37" s="11">
        <f t="shared" si="1"/>
        <v>5654.57</v>
      </c>
    </row>
    <row r="38" spans="1:14" ht="10.5" customHeight="1">
      <c r="A38" s="142">
        <v>37043</v>
      </c>
      <c r="B38" s="259"/>
      <c r="C38" s="321">
        <f>'01'!F95</f>
        <v>1552.8</v>
      </c>
      <c r="D38" s="10">
        <f t="shared" si="6"/>
        <v>1552.8</v>
      </c>
      <c r="E38" s="10">
        <v>0</v>
      </c>
      <c r="F38" s="10">
        <v>0</v>
      </c>
      <c r="G38" s="10">
        <f t="shared" si="2"/>
        <v>1552.8</v>
      </c>
      <c r="H38" s="10">
        <f t="shared" si="3"/>
        <v>124.22</v>
      </c>
      <c r="I38" s="10">
        <f t="shared" si="4"/>
        <v>1677.02</v>
      </c>
      <c r="J38" s="19">
        <f>Plan1!J40</f>
        <v>1.248379637</v>
      </c>
      <c r="K38" s="10">
        <f t="shared" si="5"/>
        <v>2093.56</v>
      </c>
      <c r="L38" s="10">
        <f t="shared" si="7"/>
        <v>160</v>
      </c>
      <c r="M38" s="10">
        <f t="shared" si="0"/>
        <v>3349.7</v>
      </c>
      <c r="N38" s="11">
        <f t="shared" si="1"/>
        <v>5443.26</v>
      </c>
    </row>
    <row r="39" spans="1:14" ht="10.5" customHeight="1">
      <c r="A39" s="142">
        <v>37073</v>
      </c>
      <c r="B39" s="259"/>
      <c r="C39" s="321">
        <f>'01'!F96</f>
        <v>1604.56</v>
      </c>
      <c r="D39" s="10">
        <f t="shared" si="6"/>
        <v>1604.56</v>
      </c>
      <c r="E39" s="10">
        <v>0</v>
      </c>
      <c r="F39" s="10">
        <v>0</v>
      </c>
      <c r="G39" s="10">
        <f t="shared" si="2"/>
        <v>1604.56</v>
      </c>
      <c r="H39" s="10">
        <f t="shared" si="3"/>
        <v>128.36</v>
      </c>
      <c r="I39" s="10">
        <f t="shared" si="4"/>
        <v>1732.92</v>
      </c>
      <c r="J39" s="19">
        <f>Plan1!J41</f>
        <v>1.245339762</v>
      </c>
      <c r="K39" s="10">
        <f t="shared" si="5"/>
        <v>2158.07</v>
      </c>
      <c r="L39" s="10">
        <f t="shared" si="7"/>
        <v>159</v>
      </c>
      <c r="M39" s="10">
        <f t="shared" si="0"/>
        <v>3431.33</v>
      </c>
      <c r="N39" s="11">
        <f t="shared" si="1"/>
        <v>5589.4</v>
      </c>
    </row>
    <row r="40" spans="1:14" ht="10.5" customHeight="1">
      <c r="A40" s="142">
        <v>37104</v>
      </c>
      <c r="B40" s="259"/>
      <c r="C40" s="321">
        <f>'01'!F97</f>
        <v>1604.56</v>
      </c>
      <c r="D40" s="10">
        <f t="shared" si="6"/>
        <v>1604.56</v>
      </c>
      <c r="E40" s="10">
        <v>0</v>
      </c>
      <c r="F40" s="10">
        <v>0</v>
      </c>
      <c r="G40" s="10">
        <f t="shared" si="2"/>
        <v>1604.56</v>
      </c>
      <c r="H40" s="10">
        <f t="shared" si="3"/>
        <v>128.36</v>
      </c>
      <c r="I40" s="10">
        <f t="shared" si="4"/>
        <v>1732.92</v>
      </c>
      <c r="J40" s="19">
        <f>Plan1!J42</f>
        <v>1.241075427</v>
      </c>
      <c r="K40" s="10">
        <f t="shared" si="5"/>
        <v>2150.68</v>
      </c>
      <c r="L40" s="10">
        <f t="shared" si="7"/>
        <v>158</v>
      </c>
      <c r="M40" s="10">
        <f t="shared" si="0"/>
        <v>3398.07</v>
      </c>
      <c r="N40" s="11">
        <f t="shared" si="1"/>
        <v>5548.75</v>
      </c>
    </row>
    <row r="41" spans="1:14" ht="10.5" customHeight="1">
      <c r="A41" s="142">
        <v>37135</v>
      </c>
      <c r="B41" s="259"/>
      <c r="C41" s="321">
        <f>'01'!F98</f>
        <v>1552.8</v>
      </c>
      <c r="D41" s="10">
        <f t="shared" si="6"/>
        <v>1552.8</v>
      </c>
      <c r="E41" s="10">
        <v>0</v>
      </c>
      <c r="F41" s="10">
        <v>0</v>
      </c>
      <c r="G41" s="10">
        <f t="shared" si="2"/>
        <v>1552.8</v>
      </c>
      <c r="H41" s="10">
        <f t="shared" si="3"/>
        <v>124.22</v>
      </c>
      <c r="I41" s="10">
        <f t="shared" si="4"/>
        <v>1677.02</v>
      </c>
      <c r="J41" s="19">
        <f>Plan1!J43</f>
        <v>1.239059477</v>
      </c>
      <c r="K41" s="10">
        <f t="shared" si="5"/>
        <v>2077.93</v>
      </c>
      <c r="L41" s="10">
        <f t="shared" si="7"/>
        <v>157</v>
      </c>
      <c r="M41" s="10">
        <f t="shared" si="0"/>
        <v>3262.35</v>
      </c>
      <c r="N41" s="11">
        <f t="shared" si="1"/>
        <v>5340.28</v>
      </c>
    </row>
    <row r="42" spans="1:14" ht="10.5" customHeight="1">
      <c r="A42" s="142">
        <v>37165</v>
      </c>
      <c r="B42" s="259"/>
      <c r="C42" s="321">
        <f>'01'!F99</f>
        <v>1604.56</v>
      </c>
      <c r="D42" s="10">
        <f t="shared" si="6"/>
        <v>1604.56</v>
      </c>
      <c r="E42" s="10">
        <v>0</v>
      </c>
      <c r="F42" s="10">
        <v>0</v>
      </c>
      <c r="G42" s="10">
        <f t="shared" si="2"/>
        <v>1604.56</v>
      </c>
      <c r="H42" s="10">
        <f t="shared" si="3"/>
        <v>128.36</v>
      </c>
      <c r="I42" s="10">
        <f t="shared" si="4"/>
        <v>1732.92</v>
      </c>
      <c r="J42" s="19">
        <f>Plan1!J44</f>
        <v>1.235460581</v>
      </c>
      <c r="K42" s="10">
        <f t="shared" si="5"/>
        <v>2140.95</v>
      </c>
      <c r="L42" s="10">
        <f t="shared" si="7"/>
        <v>156</v>
      </c>
      <c r="M42" s="10">
        <f t="shared" si="0"/>
        <v>3339.88</v>
      </c>
      <c r="N42" s="11">
        <f t="shared" si="1"/>
        <v>5480.83</v>
      </c>
    </row>
    <row r="43" spans="1:14" ht="10.5" customHeight="1">
      <c r="A43" s="142">
        <v>37196</v>
      </c>
      <c r="B43" s="259"/>
      <c r="C43" s="321">
        <f>'01'!F100</f>
        <v>1552.8</v>
      </c>
      <c r="D43" s="10">
        <f t="shared" si="6"/>
        <v>1552.8</v>
      </c>
      <c r="E43" s="10">
        <v>0</v>
      </c>
      <c r="F43" s="10">
        <v>0</v>
      </c>
      <c r="G43" s="10">
        <f t="shared" si="2"/>
        <v>1552.8</v>
      </c>
      <c r="H43" s="10">
        <f t="shared" si="3"/>
        <v>124.22</v>
      </c>
      <c r="I43" s="10">
        <f t="shared" si="4"/>
        <v>1677.02</v>
      </c>
      <c r="J43" s="19">
        <f>Plan1!J45</f>
        <v>1.233083196</v>
      </c>
      <c r="K43" s="10">
        <f t="shared" si="5"/>
        <v>2067.91</v>
      </c>
      <c r="L43" s="10">
        <f t="shared" si="7"/>
        <v>155</v>
      </c>
      <c r="M43" s="10">
        <f t="shared" si="0"/>
        <v>3205.26</v>
      </c>
      <c r="N43" s="11">
        <f t="shared" si="1"/>
        <v>5273.17</v>
      </c>
    </row>
    <row r="44" spans="1:14" ht="10.5" customHeight="1">
      <c r="A44" s="142">
        <v>37226</v>
      </c>
      <c r="B44" s="259"/>
      <c r="C44" s="321">
        <f>'01'!F101</f>
        <v>1604.56</v>
      </c>
      <c r="D44" s="10">
        <f t="shared" si="6"/>
        <v>1604.56</v>
      </c>
      <c r="E44" s="10">
        <f>D43</f>
        <v>1552.8</v>
      </c>
      <c r="F44" s="10">
        <v>0</v>
      </c>
      <c r="G44" s="10">
        <f t="shared" si="2"/>
        <v>3157.36</v>
      </c>
      <c r="H44" s="10">
        <f t="shared" si="3"/>
        <v>252.59</v>
      </c>
      <c r="I44" s="10">
        <f t="shared" si="4"/>
        <v>3409.95</v>
      </c>
      <c r="J44" s="19">
        <f>Plan1!K34</f>
        <v>1.230642832</v>
      </c>
      <c r="K44" s="10">
        <f t="shared" si="5"/>
        <v>4196.43</v>
      </c>
      <c r="L44" s="10">
        <f t="shared" si="7"/>
        <v>154</v>
      </c>
      <c r="M44" s="10">
        <f t="shared" si="0"/>
        <v>6462.5</v>
      </c>
      <c r="N44" s="11">
        <f t="shared" si="1"/>
        <v>10658.93</v>
      </c>
    </row>
    <row r="45" spans="1:14" ht="10.5" customHeight="1">
      <c r="A45" s="142">
        <v>37257</v>
      </c>
      <c r="B45" s="259"/>
      <c r="C45" s="321">
        <f>'01'!F102</f>
        <v>1736</v>
      </c>
      <c r="D45" s="10">
        <f t="shared" si="6"/>
        <v>1736</v>
      </c>
      <c r="E45" s="10">
        <v>0</v>
      </c>
      <c r="F45" s="10">
        <v>0</v>
      </c>
      <c r="G45" s="10">
        <f t="shared" si="2"/>
        <v>1736</v>
      </c>
      <c r="H45" s="10">
        <f t="shared" si="3"/>
        <v>138.88</v>
      </c>
      <c r="I45" s="10">
        <f t="shared" si="4"/>
        <v>1874.88</v>
      </c>
      <c r="J45" s="19">
        <f>Plan1!K35</f>
        <v>1.227462476</v>
      </c>
      <c r="K45" s="10">
        <f t="shared" si="5"/>
        <v>2301.34</v>
      </c>
      <c r="L45" s="10">
        <f t="shared" si="7"/>
        <v>153</v>
      </c>
      <c r="M45" s="10">
        <f t="shared" si="0"/>
        <v>3521.05</v>
      </c>
      <c r="N45" s="11">
        <f t="shared" si="1"/>
        <v>5822.39</v>
      </c>
    </row>
    <row r="46" spans="1:14" ht="10.5" customHeight="1">
      <c r="A46" s="142">
        <v>37288</v>
      </c>
      <c r="B46" s="259"/>
      <c r="C46" s="321">
        <f>'01'!F103</f>
        <v>1568</v>
      </c>
      <c r="D46" s="10">
        <f t="shared" si="6"/>
        <v>1568</v>
      </c>
      <c r="E46" s="10">
        <v>0</v>
      </c>
      <c r="F46" s="10">
        <v>0</v>
      </c>
      <c r="G46" s="10">
        <f t="shared" si="2"/>
        <v>1568</v>
      </c>
      <c r="H46" s="10">
        <f t="shared" si="3"/>
        <v>125.44</v>
      </c>
      <c r="I46" s="10">
        <f t="shared" si="4"/>
        <v>1693.44</v>
      </c>
      <c r="J46" s="19">
        <f>Plan1!K36</f>
        <v>1.226026799</v>
      </c>
      <c r="K46" s="10">
        <f t="shared" si="5"/>
        <v>2076.2</v>
      </c>
      <c r="L46" s="10">
        <f t="shared" si="7"/>
        <v>152</v>
      </c>
      <c r="M46" s="10">
        <f t="shared" si="0"/>
        <v>3155.82</v>
      </c>
      <c r="N46" s="11">
        <f t="shared" si="1"/>
        <v>5232.02</v>
      </c>
    </row>
    <row r="47" spans="1:14" ht="10.5" customHeight="1">
      <c r="A47" s="142">
        <v>37316</v>
      </c>
      <c r="B47" s="259"/>
      <c r="C47" s="321">
        <f>'01'!F104</f>
        <v>1736</v>
      </c>
      <c r="D47" s="10">
        <f t="shared" si="6"/>
        <v>1736</v>
      </c>
      <c r="E47" s="10">
        <v>0</v>
      </c>
      <c r="F47" s="10">
        <v>0</v>
      </c>
      <c r="G47" s="10">
        <f t="shared" si="2"/>
        <v>1736</v>
      </c>
      <c r="H47" s="10">
        <f t="shared" si="3"/>
        <v>138.88</v>
      </c>
      <c r="I47" s="10">
        <f t="shared" si="4"/>
        <v>1874.88</v>
      </c>
      <c r="J47" s="19">
        <f>Plan1!K37</f>
        <v>1.223875226</v>
      </c>
      <c r="K47" s="10">
        <f t="shared" si="5"/>
        <v>2294.62</v>
      </c>
      <c r="L47" s="10">
        <f t="shared" si="7"/>
        <v>151</v>
      </c>
      <c r="M47" s="10">
        <f t="shared" si="0"/>
        <v>3464.88</v>
      </c>
      <c r="N47" s="11">
        <f t="shared" si="1"/>
        <v>5759.5</v>
      </c>
    </row>
    <row r="48" spans="1:14" ht="10.5" customHeight="1">
      <c r="A48" s="142">
        <v>37347</v>
      </c>
      <c r="B48" s="259"/>
      <c r="C48" s="321">
        <f>'01'!F105</f>
        <v>1680</v>
      </c>
      <c r="D48" s="10">
        <v>0</v>
      </c>
      <c r="E48" s="10">
        <v>0</v>
      </c>
      <c r="F48" s="10">
        <f>1680*1.33333</f>
        <v>2239.99</v>
      </c>
      <c r="G48" s="10">
        <f t="shared" si="2"/>
        <v>2239.99</v>
      </c>
      <c r="H48" s="10">
        <f t="shared" si="3"/>
        <v>179.2</v>
      </c>
      <c r="I48" s="10">
        <f t="shared" si="4"/>
        <v>2419.19</v>
      </c>
      <c r="J48" s="19">
        <f>Plan1!K38</f>
        <v>1.220997336</v>
      </c>
      <c r="K48" s="10">
        <f t="shared" si="5"/>
        <v>2953.82</v>
      </c>
      <c r="L48" s="10">
        <f t="shared" si="7"/>
        <v>150</v>
      </c>
      <c r="M48" s="10">
        <f t="shared" si="0"/>
        <v>4430.73</v>
      </c>
      <c r="N48" s="11">
        <f t="shared" si="1"/>
        <v>7384.55</v>
      </c>
    </row>
    <row r="49" spans="1:14" ht="10.5" customHeight="1">
      <c r="A49" s="142">
        <v>37377</v>
      </c>
      <c r="B49" s="259"/>
      <c r="C49" s="321">
        <f>'01'!F106</f>
        <v>1736</v>
      </c>
      <c r="D49" s="10">
        <f t="shared" si="6"/>
        <v>1736</v>
      </c>
      <c r="E49" s="10">
        <v>0</v>
      </c>
      <c r="F49" s="10">
        <v>0</v>
      </c>
      <c r="G49" s="10">
        <f t="shared" si="2"/>
        <v>1736</v>
      </c>
      <c r="H49" s="10">
        <f t="shared" si="3"/>
        <v>138.88</v>
      </c>
      <c r="I49" s="10">
        <f t="shared" si="4"/>
        <v>1874.88</v>
      </c>
      <c r="J49" s="19">
        <f>Plan1!K39</f>
        <v>1.218436183</v>
      </c>
      <c r="K49" s="10">
        <f t="shared" si="5"/>
        <v>2284.42</v>
      </c>
      <c r="L49" s="10">
        <f t="shared" si="7"/>
        <v>149</v>
      </c>
      <c r="M49" s="10">
        <f t="shared" si="0"/>
        <v>3403.79</v>
      </c>
      <c r="N49" s="11">
        <f t="shared" si="1"/>
        <v>5688.21</v>
      </c>
    </row>
    <row r="50" spans="1:14" ht="10.5" customHeight="1">
      <c r="A50" s="142">
        <v>37408</v>
      </c>
      <c r="B50" s="259"/>
      <c r="C50" s="321">
        <f>'01'!F107</f>
        <v>1680</v>
      </c>
      <c r="D50" s="10">
        <f t="shared" si="6"/>
        <v>1680</v>
      </c>
      <c r="E50" s="10">
        <v>0</v>
      </c>
      <c r="F50" s="10">
        <v>0</v>
      </c>
      <c r="G50" s="10">
        <f t="shared" si="2"/>
        <v>1680</v>
      </c>
      <c r="H50" s="10">
        <f t="shared" si="3"/>
        <v>134.4</v>
      </c>
      <c r="I50" s="10">
        <f t="shared" si="4"/>
        <v>1814.4</v>
      </c>
      <c r="J50" s="19">
        <f>Plan1!K40</f>
        <v>1.216511661</v>
      </c>
      <c r="K50" s="10">
        <f t="shared" si="5"/>
        <v>2207.24</v>
      </c>
      <c r="L50" s="10">
        <f t="shared" si="7"/>
        <v>148</v>
      </c>
      <c r="M50" s="10">
        <f t="shared" si="0"/>
        <v>3266.72</v>
      </c>
      <c r="N50" s="11">
        <f t="shared" si="1"/>
        <v>5473.96</v>
      </c>
    </row>
    <row r="51" spans="1:14" ht="10.5" customHeight="1">
      <c r="A51" s="142">
        <v>37438</v>
      </c>
      <c r="B51" s="259"/>
      <c r="C51" s="321">
        <f>'01'!F108</f>
        <v>1736</v>
      </c>
      <c r="D51" s="10">
        <f t="shared" si="6"/>
        <v>1736</v>
      </c>
      <c r="E51" s="10">
        <v>0</v>
      </c>
      <c r="F51" s="10">
        <v>0</v>
      </c>
      <c r="G51" s="10">
        <f t="shared" si="2"/>
        <v>1736</v>
      </c>
      <c r="H51" s="10">
        <f t="shared" si="3"/>
        <v>138.88</v>
      </c>
      <c r="I51" s="10">
        <f t="shared" si="4"/>
        <v>1874.88</v>
      </c>
      <c r="J51" s="19">
        <f>Plan1!K41</f>
        <v>1.213289165</v>
      </c>
      <c r="K51" s="10">
        <f t="shared" si="5"/>
        <v>2274.77</v>
      </c>
      <c r="L51" s="10">
        <f t="shared" si="7"/>
        <v>147</v>
      </c>
      <c r="M51" s="10">
        <f t="shared" si="0"/>
        <v>3343.91</v>
      </c>
      <c r="N51" s="11">
        <f t="shared" si="1"/>
        <v>5618.68</v>
      </c>
    </row>
    <row r="52" spans="1:14" ht="10.5" customHeight="1">
      <c r="A52" s="142">
        <v>37469</v>
      </c>
      <c r="B52" s="259"/>
      <c r="C52" s="321">
        <f>'01'!F109</f>
        <v>1736</v>
      </c>
      <c r="D52" s="10">
        <f t="shared" si="6"/>
        <v>1736</v>
      </c>
      <c r="E52" s="10">
        <v>0</v>
      </c>
      <c r="F52" s="10">
        <v>0</v>
      </c>
      <c r="G52" s="10">
        <f t="shared" si="2"/>
        <v>1736</v>
      </c>
      <c r="H52" s="10">
        <f t="shared" si="3"/>
        <v>138.88</v>
      </c>
      <c r="I52" s="10">
        <f t="shared" si="4"/>
        <v>1874.88</v>
      </c>
      <c r="J52" s="19">
        <f>Plan1!K42</f>
        <v>1.210286445</v>
      </c>
      <c r="K52" s="10">
        <f t="shared" si="5"/>
        <v>2269.14</v>
      </c>
      <c r="L52" s="10">
        <f t="shared" si="7"/>
        <v>146</v>
      </c>
      <c r="M52" s="10">
        <f t="shared" si="0"/>
        <v>3312.94</v>
      </c>
      <c r="N52" s="11">
        <f t="shared" si="1"/>
        <v>5582.08</v>
      </c>
    </row>
    <row r="53" spans="1:14" ht="10.5" customHeight="1">
      <c r="A53" s="142">
        <v>37500</v>
      </c>
      <c r="B53" s="259"/>
      <c r="C53" s="321">
        <f>'01'!F110</f>
        <v>1680</v>
      </c>
      <c r="D53" s="10">
        <f t="shared" si="6"/>
        <v>1680</v>
      </c>
      <c r="E53" s="10">
        <v>0</v>
      </c>
      <c r="F53" s="10">
        <v>0</v>
      </c>
      <c r="G53" s="10">
        <f t="shared" si="2"/>
        <v>1680</v>
      </c>
      <c r="H53" s="10">
        <f t="shared" si="3"/>
        <v>134.4</v>
      </c>
      <c r="I53" s="10">
        <f t="shared" si="4"/>
        <v>1814.4</v>
      </c>
      <c r="J53" s="19">
        <f>Plan1!K43</f>
        <v>1.207924951</v>
      </c>
      <c r="K53" s="10">
        <f t="shared" si="5"/>
        <v>2191.66</v>
      </c>
      <c r="L53" s="10">
        <f t="shared" si="7"/>
        <v>145</v>
      </c>
      <c r="M53" s="10">
        <f t="shared" si="0"/>
        <v>3177.91</v>
      </c>
      <c r="N53" s="11">
        <f t="shared" si="1"/>
        <v>5369.57</v>
      </c>
    </row>
    <row r="54" spans="1:14" ht="10.5" customHeight="1">
      <c r="A54" s="142">
        <v>37530</v>
      </c>
      <c r="B54" s="259"/>
      <c r="C54" s="321">
        <f>'01'!F111</f>
        <v>1736</v>
      </c>
      <c r="D54" s="10">
        <f t="shared" si="6"/>
        <v>1736</v>
      </c>
      <c r="E54" s="10">
        <v>0</v>
      </c>
      <c r="F54" s="10">
        <v>0</v>
      </c>
      <c r="G54" s="10">
        <f t="shared" si="2"/>
        <v>1736</v>
      </c>
      <c r="H54" s="10">
        <f t="shared" si="3"/>
        <v>138.88</v>
      </c>
      <c r="I54" s="10">
        <f t="shared" si="4"/>
        <v>1874.88</v>
      </c>
      <c r="J54" s="19">
        <f>Plan1!K44</f>
        <v>1.204590644</v>
      </c>
      <c r="K54" s="10">
        <f t="shared" si="5"/>
        <v>2258.46</v>
      </c>
      <c r="L54" s="10">
        <f t="shared" si="7"/>
        <v>144</v>
      </c>
      <c r="M54" s="10">
        <f t="shared" si="0"/>
        <v>3252.18</v>
      </c>
      <c r="N54" s="11">
        <f t="shared" si="1"/>
        <v>5510.64</v>
      </c>
    </row>
    <row r="55" spans="1:14" ht="10.5" customHeight="1">
      <c r="A55" s="142">
        <v>37561</v>
      </c>
      <c r="B55" s="259"/>
      <c r="C55" s="321">
        <f>'01'!F112</f>
        <v>1680</v>
      </c>
      <c r="D55" s="10">
        <f t="shared" si="6"/>
        <v>1680</v>
      </c>
      <c r="E55" s="10">
        <v>0</v>
      </c>
      <c r="F55" s="10">
        <v>0</v>
      </c>
      <c r="G55" s="10">
        <f t="shared" si="2"/>
        <v>1680</v>
      </c>
      <c r="H55" s="10">
        <f t="shared" si="3"/>
        <v>134.4</v>
      </c>
      <c r="I55" s="10">
        <f t="shared" si="4"/>
        <v>1814.4</v>
      </c>
      <c r="J55" s="19">
        <f>Plan1!K45</f>
        <v>1.201414106</v>
      </c>
      <c r="K55" s="10">
        <f t="shared" si="5"/>
        <v>2179.85</v>
      </c>
      <c r="L55" s="10">
        <f t="shared" si="7"/>
        <v>143</v>
      </c>
      <c r="M55" s="10">
        <f t="shared" si="0"/>
        <v>3117.19</v>
      </c>
      <c r="N55" s="11">
        <f t="shared" si="1"/>
        <v>5297.04</v>
      </c>
    </row>
    <row r="56" spans="1:14" ht="10.5" customHeight="1">
      <c r="A56" s="142">
        <v>37591</v>
      </c>
      <c r="B56" s="259"/>
      <c r="C56" s="321">
        <f>'01'!F113</f>
        <v>1736</v>
      </c>
      <c r="D56" s="10">
        <f t="shared" si="6"/>
        <v>1736</v>
      </c>
      <c r="E56" s="10">
        <f>D55</f>
        <v>1680</v>
      </c>
      <c r="F56" s="10">
        <v>0</v>
      </c>
      <c r="G56" s="10">
        <f t="shared" si="2"/>
        <v>3416</v>
      </c>
      <c r="H56" s="10">
        <f t="shared" si="3"/>
        <v>273.28</v>
      </c>
      <c r="I56" s="10">
        <f t="shared" si="4"/>
        <v>3689.28</v>
      </c>
      <c r="J56" s="19">
        <f>Plan1!L34</f>
        <v>1.197093794</v>
      </c>
      <c r="K56" s="10">
        <f t="shared" si="5"/>
        <v>4416.41</v>
      </c>
      <c r="L56" s="10">
        <f t="shared" si="7"/>
        <v>142</v>
      </c>
      <c r="M56" s="10">
        <f t="shared" si="0"/>
        <v>6271.3</v>
      </c>
      <c r="N56" s="11">
        <f t="shared" si="1"/>
        <v>10687.71</v>
      </c>
    </row>
    <row r="57" spans="1:14" ht="10.5" customHeight="1">
      <c r="A57" s="142">
        <v>37622</v>
      </c>
      <c r="B57" s="259"/>
      <c r="C57" s="321">
        <f>'01'!F114</f>
        <v>1914.56</v>
      </c>
      <c r="D57" s="10">
        <f t="shared" si="6"/>
        <v>1914.56</v>
      </c>
      <c r="E57" s="10">
        <v>0</v>
      </c>
      <c r="F57" s="10">
        <v>0</v>
      </c>
      <c r="G57" s="10">
        <f t="shared" si="2"/>
        <v>1914.56</v>
      </c>
      <c r="H57" s="10">
        <f t="shared" si="3"/>
        <v>153.16</v>
      </c>
      <c r="I57" s="10">
        <f t="shared" si="4"/>
        <v>2067.72</v>
      </c>
      <c r="J57" s="19">
        <f>Plan1!L35</f>
        <v>1.191282717</v>
      </c>
      <c r="K57" s="10">
        <f t="shared" si="5"/>
        <v>2463.24</v>
      </c>
      <c r="L57" s="10">
        <f t="shared" si="7"/>
        <v>141</v>
      </c>
      <c r="M57" s="10">
        <f t="shared" si="0"/>
        <v>3473.17</v>
      </c>
      <c r="N57" s="11">
        <f t="shared" si="1"/>
        <v>5936.41</v>
      </c>
    </row>
    <row r="58" spans="1:14" ht="10.5" customHeight="1">
      <c r="A58" s="142">
        <v>37653</v>
      </c>
      <c r="B58" s="259"/>
      <c r="C58" s="321">
        <f>'01'!F115</f>
        <v>1729.28</v>
      </c>
      <c r="D58" s="10">
        <f t="shared" si="6"/>
        <v>1729.28</v>
      </c>
      <c r="E58" s="10">
        <v>0</v>
      </c>
      <c r="F58" s="10">
        <v>0</v>
      </c>
      <c r="G58" s="10">
        <f t="shared" si="2"/>
        <v>1729.28</v>
      </c>
      <c r="H58" s="10">
        <f t="shared" si="3"/>
        <v>138.34</v>
      </c>
      <c r="I58" s="10">
        <f t="shared" si="4"/>
        <v>1867.62</v>
      </c>
      <c r="J58" s="19">
        <f>Plan1!L36</f>
        <v>1.186399497</v>
      </c>
      <c r="K58" s="10">
        <f t="shared" si="5"/>
        <v>2215.74</v>
      </c>
      <c r="L58" s="10">
        <f t="shared" si="7"/>
        <v>140</v>
      </c>
      <c r="M58" s="10">
        <f t="shared" si="0"/>
        <v>3102.04</v>
      </c>
      <c r="N58" s="11">
        <f t="shared" si="1"/>
        <v>5317.78</v>
      </c>
    </row>
    <row r="59" spans="1:14" ht="10.5" customHeight="1">
      <c r="A59" s="142">
        <v>37681</v>
      </c>
      <c r="B59" s="259"/>
      <c r="C59" s="321">
        <f>'01'!F116</f>
        <v>1914.56</v>
      </c>
      <c r="D59" s="10">
        <f t="shared" si="6"/>
        <v>1914.56</v>
      </c>
      <c r="E59" s="10">
        <v>0</v>
      </c>
      <c r="F59" s="10">
        <v>0</v>
      </c>
      <c r="G59" s="10">
        <f t="shared" si="2"/>
        <v>1914.56</v>
      </c>
      <c r="H59" s="10">
        <f t="shared" si="3"/>
        <v>153.16</v>
      </c>
      <c r="I59" s="10">
        <f t="shared" si="4"/>
        <v>2067.72</v>
      </c>
      <c r="J59" s="19">
        <f>Plan1!L37</f>
        <v>1.181929439</v>
      </c>
      <c r="K59" s="10">
        <f t="shared" si="5"/>
        <v>2443.9</v>
      </c>
      <c r="L59" s="10">
        <f t="shared" si="7"/>
        <v>139</v>
      </c>
      <c r="M59" s="10">
        <f t="shared" si="0"/>
        <v>3397.02</v>
      </c>
      <c r="N59" s="11">
        <f t="shared" si="1"/>
        <v>5840.92</v>
      </c>
    </row>
    <row r="60" spans="1:14" ht="10.5" customHeight="1">
      <c r="A60" s="142">
        <v>37712</v>
      </c>
      <c r="B60" s="259"/>
      <c r="C60" s="321">
        <f>'01'!F117</f>
        <v>1852.8</v>
      </c>
      <c r="D60" s="10">
        <v>0</v>
      </c>
      <c r="E60" s="10">
        <v>0</v>
      </c>
      <c r="F60" s="10">
        <f>1852.8*1.333333</f>
        <v>2470.4</v>
      </c>
      <c r="G60" s="10">
        <f t="shared" si="2"/>
        <v>2470.4</v>
      </c>
      <c r="H60" s="10">
        <f t="shared" si="3"/>
        <v>197.63</v>
      </c>
      <c r="I60" s="10">
        <f t="shared" si="4"/>
        <v>2668.03</v>
      </c>
      <c r="J60" s="19">
        <f>Plan1!L38</f>
        <v>1.177004851</v>
      </c>
      <c r="K60" s="10">
        <f t="shared" si="5"/>
        <v>3140.28</v>
      </c>
      <c r="L60" s="10">
        <f t="shared" si="7"/>
        <v>138</v>
      </c>
      <c r="M60" s="10">
        <f t="shared" si="0"/>
        <v>4333.59</v>
      </c>
      <c r="N60" s="11">
        <f t="shared" si="1"/>
        <v>7473.87</v>
      </c>
    </row>
    <row r="61" spans="1:14" ht="10.5" customHeight="1">
      <c r="A61" s="142">
        <v>37742</v>
      </c>
      <c r="B61" s="259"/>
      <c r="C61" s="321">
        <f>'01'!F118</f>
        <v>1914.56</v>
      </c>
      <c r="D61" s="10">
        <f t="shared" si="6"/>
        <v>1914.56</v>
      </c>
      <c r="E61" s="10">
        <v>0</v>
      </c>
      <c r="F61" s="10">
        <v>0</v>
      </c>
      <c r="G61" s="10">
        <f t="shared" si="2"/>
        <v>1914.56</v>
      </c>
      <c r="H61" s="10">
        <f t="shared" si="3"/>
        <v>153.16</v>
      </c>
      <c r="I61" s="10">
        <f t="shared" si="4"/>
        <v>2067.72</v>
      </c>
      <c r="J61" s="19">
        <f>Plan1!L39</f>
        <v>1.171557111</v>
      </c>
      <c r="K61" s="10">
        <f t="shared" si="5"/>
        <v>2422.45</v>
      </c>
      <c r="L61" s="10">
        <f t="shared" si="7"/>
        <v>137</v>
      </c>
      <c r="M61" s="10">
        <f t="shared" si="0"/>
        <v>3318.76</v>
      </c>
      <c r="N61" s="11">
        <f t="shared" si="1"/>
        <v>5741.21</v>
      </c>
    </row>
    <row r="62" spans="1:14" ht="10.5" customHeight="1">
      <c r="A62" s="142">
        <v>37773</v>
      </c>
      <c r="B62" s="259"/>
      <c r="C62" s="321">
        <f>'01'!F119</f>
        <v>1852.8</v>
      </c>
      <c r="D62" s="10">
        <f t="shared" si="6"/>
        <v>1852.8</v>
      </c>
      <c r="E62" s="10">
        <v>0</v>
      </c>
      <c r="F62" s="10">
        <v>0</v>
      </c>
      <c r="G62" s="10">
        <f t="shared" si="2"/>
        <v>1852.8</v>
      </c>
      <c r="H62" s="10">
        <f t="shared" si="3"/>
        <v>148.22</v>
      </c>
      <c r="I62" s="10">
        <f t="shared" si="4"/>
        <v>2001.02</v>
      </c>
      <c r="J62" s="19">
        <f>Plan1!L40</f>
        <v>1.166696652</v>
      </c>
      <c r="K62" s="10">
        <f t="shared" si="5"/>
        <v>2334.58</v>
      </c>
      <c r="L62" s="10">
        <f t="shared" si="7"/>
        <v>136</v>
      </c>
      <c r="M62" s="10">
        <f t="shared" si="0"/>
        <v>3175.03</v>
      </c>
      <c r="N62" s="11">
        <f t="shared" si="1"/>
        <v>5509.61</v>
      </c>
    </row>
    <row r="63" spans="1:14" ht="10.5" customHeight="1">
      <c r="A63" s="142">
        <v>37803</v>
      </c>
      <c r="B63" s="259"/>
      <c r="C63" s="321">
        <f>'01'!F120</f>
        <v>1914.56</v>
      </c>
      <c r="D63" s="10">
        <f t="shared" si="6"/>
        <v>1914.56</v>
      </c>
      <c r="E63" s="10">
        <v>0</v>
      </c>
      <c r="F63" s="10">
        <v>0</v>
      </c>
      <c r="G63" s="10">
        <f t="shared" si="2"/>
        <v>1914.56</v>
      </c>
      <c r="H63" s="10">
        <f t="shared" si="3"/>
        <v>153.16</v>
      </c>
      <c r="I63" s="10">
        <f t="shared" si="4"/>
        <v>2067.72</v>
      </c>
      <c r="J63" s="19">
        <f>Plan1!L41</f>
        <v>1.160355311</v>
      </c>
      <c r="K63" s="10">
        <f t="shared" si="5"/>
        <v>2399.29</v>
      </c>
      <c r="L63" s="10">
        <f t="shared" si="7"/>
        <v>135</v>
      </c>
      <c r="M63" s="10">
        <f t="shared" si="0"/>
        <v>3239.04</v>
      </c>
      <c r="N63" s="11">
        <f t="shared" si="1"/>
        <v>5638.33</v>
      </c>
    </row>
    <row r="64" spans="1:14" ht="10.5" customHeight="1">
      <c r="A64" s="142">
        <v>37834</v>
      </c>
      <c r="B64" s="259"/>
      <c r="C64" s="321">
        <f>'01'!F121</f>
        <v>1914.56</v>
      </c>
      <c r="D64" s="10">
        <f t="shared" si="6"/>
        <v>1914.56</v>
      </c>
      <c r="E64" s="10">
        <v>0</v>
      </c>
      <c r="F64" s="10">
        <v>0</v>
      </c>
      <c r="G64" s="10">
        <f t="shared" si="2"/>
        <v>1914.56</v>
      </c>
      <c r="H64" s="10">
        <f t="shared" si="3"/>
        <v>153.16</v>
      </c>
      <c r="I64" s="10">
        <f t="shared" si="4"/>
        <v>2067.72</v>
      </c>
      <c r="J64" s="19">
        <f>Plan1!L42</f>
        <v>1.15568864</v>
      </c>
      <c r="K64" s="10">
        <f t="shared" si="5"/>
        <v>2389.64</v>
      </c>
      <c r="L64" s="10">
        <f t="shared" si="7"/>
        <v>134</v>
      </c>
      <c r="M64" s="10">
        <f t="shared" si="0"/>
        <v>3202.12</v>
      </c>
      <c r="N64" s="11">
        <f t="shared" si="1"/>
        <v>5591.76</v>
      </c>
    </row>
    <row r="65" spans="1:14" ht="10.5" customHeight="1">
      <c r="A65" s="142">
        <v>37865</v>
      </c>
      <c r="B65" s="259"/>
      <c r="C65" s="321">
        <f>'01'!F122</f>
        <v>1852.8</v>
      </c>
      <c r="D65" s="10">
        <f t="shared" si="6"/>
        <v>1852.8</v>
      </c>
      <c r="E65" s="10">
        <v>0</v>
      </c>
      <c r="F65" s="10">
        <v>0</v>
      </c>
      <c r="G65" s="10">
        <f t="shared" si="2"/>
        <v>1852.8</v>
      </c>
      <c r="H65" s="10">
        <f t="shared" si="3"/>
        <v>148.22</v>
      </c>
      <c r="I65" s="10">
        <f t="shared" si="4"/>
        <v>2001.02</v>
      </c>
      <c r="J65" s="19">
        <f>Plan1!L43</f>
        <v>1.151813938</v>
      </c>
      <c r="K65" s="10">
        <f t="shared" si="5"/>
        <v>2304.8</v>
      </c>
      <c r="L65" s="10">
        <f t="shared" si="7"/>
        <v>133</v>
      </c>
      <c r="M65" s="10">
        <f t="shared" si="0"/>
        <v>3065.38</v>
      </c>
      <c r="N65" s="11">
        <f t="shared" si="1"/>
        <v>5370.18</v>
      </c>
    </row>
    <row r="66" spans="1:14" ht="10.5" customHeight="1">
      <c r="A66" s="142">
        <v>37895</v>
      </c>
      <c r="B66" s="259"/>
      <c r="C66" s="321">
        <f>'01'!F123</f>
        <v>1914.56</v>
      </c>
      <c r="D66" s="10">
        <f t="shared" si="6"/>
        <v>1914.56</v>
      </c>
      <c r="E66" s="10">
        <v>0</v>
      </c>
      <c r="F66" s="10">
        <v>0</v>
      </c>
      <c r="G66" s="10">
        <f t="shared" si="2"/>
        <v>1914.56</v>
      </c>
      <c r="H66" s="10">
        <f t="shared" si="3"/>
        <v>153.16</v>
      </c>
      <c r="I66" s="10">
        <f t="shared" si="4"/>
        <v>2067.72</v>
      </c>
      <c r="J66" s="19">
        <f>Plan1!L44</f>
        <v>1.148125012</v>
      </c>
      <c r="K66" s="10">
        <f t="shared" si="5"/>
        <v>2374</v>
      </c>
      <c r="L66" s="10">
        <f t="shared" si="7"/>
        <v>132</v>
      </c>
      <c r="M66" s="10">
        <f t="shared" si="0"/>
        <v>3133.68</v>
      </c>
      <c r="N66" s="11">
        <f t="shared" si="1"/>
        <v>5507.68</v>
      </c>
    </row>
    <row r="67" spans="1:14" ht="10.5" customHeight="1">
      <c r="A67" s="142">
        <v>37926</v>
      </c>
      <c r="B67" s="259"/>
      <c r="C67" s="321">
        <f>'01'!F124</f>
        <v>1852.8</v>
      </c>
      <c r="D67" s="10">
        <f t="shared" si="6"/>
        <v>1852.8</v>
      </c>
      <c r="E67" s="10">
        <v>0</v>
      </c>
      <c r="F67" s="10">
        <v>0</v>
      </c>
      <c r="G67" s="10">
        <f t="shared" si="2"/>
        <v>1852.8</v>
      </c>
      <c r="H67" s="10">
        <f t="shared" si="3"/>
        <v>148.22</v>
      </c>
      <c r="I67" s="10">
        <f t="shared" si="4"/>
        <v>2001.02</v>
      </c>
      <c r="J67" s="19">
        <f>Plan1!L45</f>
        <v>1.146089557</v>
      </c>
      <c r="K67" s="10">
        <f t="shared" si="5"/>
        <v>2293.35</v>
      </c>
      <c r="L67" s="10">
        <f t="shared" si="7"/>
        <v>131</v>
      </c>
      <c r="M67" s="10">
        <f t="shared" si="0"/>
        <v>3004.29</v>
      </c>
      <c r="N67" s="11">
        <f t="shared" si="1"/>
        <v>5297.64</v>
      </c>
    </row>
    <row r="68" spans="1:14" ht="10.5" customHeight="1">
      <c r="A68" s="142">
        <v>37956</v>
      </c>
      <c r="B68" s="259"/>
      <c r="C68" s="321">
        <f>'01'!F125</f>
        <v>1914.56</v>
      </c>
      <c r="D68" s="10">
        <f t="shared" si="6"/>
        <v>1914.56</v>
      </c>
      <c r="E68" s="10">
        <f>D67</f>
        <v>1852.8</v>
      </c>
      <c r="F68" s="10">
        <v>0</v>
      </c>
      <c r="G68" s="10">
        <f t="shared" si="2"/>
        <v>3767.36</v>
      </c>
      <c r="H68" s="10">
        <f t="shared" si="3"/>
        <v>301.39</v>
      </c>
      <c r="I68" s="10">
        <f t="shared" si="4"/>
        <v>4068.75</v>
      </c>
      <c r="J68" s="19">
        <f>Plan1!B47</f>
        <v>1.143917258</v>
      </c>
      <c r="K68" s="10">
        <f t="shared" si="5"/>
        <v>4654.31</v>
      </c>
      <c r="L68" s="10">
        <f t="shared" si="7"/>
        <v>130</v>
      </c>
      <c r="M68" s="10">
        <f t="shared" si="0"/>
        <v>6050.6</v>
      </c>
      <c r="N68" s="11">
        <f t="shared" si="1"/>
        <v>10704.91</v>
      </c>
    </row>
    <row r="69" spans="1:14" ht="10.5" customHeight="1">
      <c r="A69" s="142">
        <v>37987</v>
      </c>
      <c r="B69" s="259"/>
      <c r="C69" s="321">
        <f>'01'!F126</f>
        <v>2229.52</v>
      </c>
      <c r="D69" s="10">
        <f t="shared" si="6"/>
        <v>2229.52</v>
      </c>
      <c r="E69" s="10">
        <v>0</v>
      </c>
      <c r="F69" s="10">
        <v>0</v>
      </c>
      <c r="G69" s="10">
        <f t="shared" si="2"/>
        <v>2229.52</v>
      </c>
      <c r="H69" s="10">
        <f t="shared" si="3"/>
        <v>178.36</v>
      </c>
      <c r="I69" s="10">
        <f t="shared" si="4"/>
        <v>2407.88</v>
      </c>
      <c r="J69" s="19">
        <f>Plan1!B48</f>
        <v>1.142454916</v>
      </c>
      <c r="K69" s="10">
        <f t="shared" si="5"/>
        <v>2750.89</v>
      </c>
      <c r="L69" s="10">
        <f t="shared" si="7"/>
        <v>129</v>
      </c>
      <c r="M69" s="10">
        <f t="shared" si="0"/>
        <v>3548.65</v>
      </c>
      <c r="N69" s="11">
        <f t="shared" si="1"/>
        <v>6299.54</v>
      </c>
    </row>
    <row r="70" spans="1:14" ht="10.5" customHeight="1">
      <c r="A70" s="142">
        <v>38018</v>
      </c>
      <c r="B70" s="259"/>
      <c r="C70" s="321">
        <f>'01'!F127</f>
        <v>2085.68</v>
      </c>
      <c r="D70" s="10">
        <f t="shared" si="6"/>
        <v>2085.68</v>
      </c>
      <c r="E70" s="10">
        <v>0</v>
      </c>
      <c r="F70" s="10">
        <v>0</v>
      </c>
      <c r="G70" s="10">
        <f t="shared" si="2"/>
        <v>2085.68</v>
      </c>
      <c r="H70" s="10">
        <f t="shared" si="3"/>
        <v>166.85</v>
      </c>
      <c r="I70" s="10">
        <f t="shared" si="4"/>
        <v>2252.53</v>
      </c>
      <c r="J70" s="19">
        <f>Plan1!B49</f>
        <v>1.141931911</v>
      </c>
      <c r="K70" s="10">
        <f t="shared" si="5"/>
        <v>2572.24</v>
      </c>
      <c r="L70" s="10">
        <f t="shared" si="7"/>
        <v>128</v>
      </c>
      <c r="M70" s="10">
        <f t="shared" si="0"/>
        <v>3292.47</v>
      </c>
      <c r="N70" s="11">
        <f t="shared" si="1"/>
        <v>5864.71</v>
      </c>
    </row>
    <row r="71" spans="1:14" ht="10.5" customHeight="1">
      <c r="A71" s="142">
        <v>38047</v>
      </c>
      <c r="B71" s="259"/>
      <c r="C71" s="321">
        <f>'01'!F128</f>
        <v>2229.52</v>
      </c>
      <c r="D71" s="10">
        <f t="shared" si="6"/>
        <v>2229.52</v>
      </c>
      <c r="E71" s="10">
        <v>0</v>
      </c>
      <c r="F71" s="10">
        <v>0</v>
      </c>
      <c r="G71" s="10">
        <f t="shared" si="2"/>
        <v>2229.52</v>
      </c>
      <c r="H71" s="10">
        <f t="shared" si="3"/>
        <v>178.36</v>
      </c>
      <c r="I71" s="10">
        <f t="shared" si="4"/>
        <v>2407.88</v>
      </c>
      <c r="J71" s="19">
        <f>Plan1!B50</f>
        <v>1.13990516</v>
      </c>
      <c r="K71" s="10">
        <f t="shared" si="5"/>
        <v>2744.75</v>
      </c>
      <c r="L71" s="10">
        <f t="shared" si="7"/>
        <v>127</v>
      </c>
      <c r="M71" s="10">
        <f t="shared" si="0"/>
        <v>3485.83</v>
      </c>
      <c r="N71" s="11">
        <f t="shared" si="1"/>
        <v>6230.58</v>
      </c>
    </row>
    <row r="72" spans="1:14" ht="10.5" customHeight="1">
      <c r="A72" s="142">
        <v>38078</v>
      </c>
      <c r="B72" s="259"/>
      <c r="C72" s="321">
        <f>'01'!F129</f>
        <v>2157.6</v>
      </c>
      <c r="D72" s="10">
        <v>0</v>
      </c>
      <c r="E72" s="10">
        <v>0</v>
      </c>
      <c r="F72" s="10">
        <f>2157.6*1.333333</f>
        <v>2876.8</v>
      </c>
      <c r="G72" s="10">
        <f t="shared" si="2"/>
        <v>2876.8</v>
      </c>
      <c r="H72" s="10">
        <f t="shared" si="3"/>
        <v>230.14</v>
      </c>
      <c r="I72" s="10">
        <f t="shared" si="4"/>
        <v>3106.94</v>
      </c>
      <c r="J72" s="19">
        <f>Plan1!B51</f>
        <v>1.138909753</v>
      </c>
      <c r="K72" s="10">
        <f t="shared" si="5"/>
        <v>3538.52</v>
      </c>
      <c r="L72" s="10">
        <f t="shared" si="7"/>
        <v>126</v>
      </c>
      <c r="M72" s="10">
        <f t="shared" si="0"/>
        <v>4458.54</v>
      </c>
      <c r="N72" s="11">
        <f t="shared" si="1"/>
        <v>7997.06</v>
      </c>
    </row>
    <row r="73" spans="1:14" ht="10.5" customHeight="1">
      <c r="A73" s="142">
        <v>38108</v>
      </c>
      <c r="B73" s="259"/>
      <c r="C73" s="321">
        <f>'01'!F130</f>
        <v>2229.52</v>
      </c>
      <c r="D73" s="10">
        <f t="shared" si="6"/>
        <v>2229.52</v>
      </c>
      <c r="E73" s="10">
        <v>0</v>
      </c>
      <c r="F73" s="10">
        <v>0</v>
      </c>
      <c r="G73" s="10">
        <f t="shared" si="2"/>
        <v>2229.52</v>
      </c>
      <c r="H73" s="10">
        <f t="shared" si="3"/>
        <v>178.36</v>
      </c>
      <c r="I73" s="10">
        <f t="shared" si="4"/>
        <v>2407.88</v>
      </c>
      <c r="J73" s="19">
        <f>Plan1!B52</f>
        <v>1.137151716</v>
      </c>
      <c r="K73" s="10">
        <f t="shared" si="5"/>
        <v>2738.12</v>
      </c>
      <c r="L73" s="10">
        <f t="shared" si="7"/>
        <v>125</v>
      </c>
      <c r="M73" s="10">
        <f t="shared" si="0"/>
        <v>3422.65</v>
      </c>
      <c r="N73" s="11">
        <f t="shared" si="1"/>
        <v>6160.77</v>
      </c>
    </row>
    <row r="74" spans="1:14" ht="10.5" customHeight="1">
      <c r="A74" s="142">
        <v>38139</v>
      </c>
      <c r="B74" s="259"/>
      <c r="C74" s="321">
        <f>'01'!F131</f>
        <v>2157.6</v>
      </c>
      <c r="D74" s="10">
        <f t="shared" si="6"/>
        <v>2157.6</v>
      </c>
      <c r="E74" s="10">
        <v>0</v>
      </c>
      <c r="F74" s="10">
        <v>0</v>
      </c>
      <c r="G74" s="10">
        <f t="shared" si="2"/>
        <v>2157.6</v>
      </c>
      <c r="H74" s="10">
        <f t="shared" si="3"/>
        <v>172.61</v>
      </c>
      <c r="I74" s="10">
        <f t="shared" si="4"/>
        <v>2330.21</v>
      </c>
      <c r="J74" s="19">
        <f>Plan1!B53</f>
        <v>1.135152712</v>
      </c>
      <c r="K74" s="10">
        <f t="shared" si="5"/>
        <v>2645.14</v>
      </c>
      <c r="L74" s="10">
        <f t="shared" si="7"/>
        <v>124</v>
      </c>
      <c r="M74" s="10">
        <f t="shared" si="0"/>
        <v>3279.97</v>
      </c>
      <c r="N74" s="11">
        <f t="shared" si="1"/>
        <v>5925.11</v>
      </c>
    </row>
    <row r="75" spans="1:14" ht="10.5" customHeight="1">
      <c r="A75" s="142">
        <v>38169</v>
      </c>
      <c r="B75" s="259"/>
      <c r="C75" s="321">
        <f>'01'!F132</f>
        <v>2229.52</v>
      </c>
      <c r="D75" s="10">
        <f t="shared" si="6"/>
        <v>2229.52</v>
      </c>
      <c r="E75" s="10">
        <v>0</v>
      </c>
      <c r="F75" s="10">
        <v>0</v>
      </c>
      <c r="G75" s="10">
        <f t="shared" si="2"/>
        <v>2229.52</v>
      </c>
      <c r="H75" s="10">
        <f t="shared" si="3"/>
        <v>178.36</v>
      </c>
      <c r="I75" s="10">
        <f t="shared" si="4"/>
        <v>2407.88</v>
      </c>
      <c r="J75" s="19">
        <f>Plan1!B54</f>
        <v>1.132941211</v>
      </c>
      <c r="K75" s="10">
        <f t="shared" si="5"/>
        <v>2727.99</v>
      </c>
      <c r="L75" s="10">
        <f t="shared" si="7"/>
        <v>123</v>
      </c>
      <c r="M75" s="10">
        <f t="shared" si="0"/>
        <v>3355.43</v>
      </c>
      <c r="N75" s="11">
        <f t="shared" si="1"/>
        <v>6083.42</v>
      </c>
    </row>
    <row r="76" spans="1:14" ht="10.5" customHeight="1">
      <c r="A76" s="142">
        <v>38200</v>
      </c>
      <c r="B76" s="259"/>
      <c r="C76" s="321">
        <f>'01'!F133</f>
        <v>2229.52</v>
      </c>
      <c r="D76" s="10">
        <f t="shared" si="6"/>
        <v>2229.52</v>
      </c>
      <c r="E76" s="10">
        <v>0</v>
      </c>
      <c r="F76" s="10">
        <v>0</v>
      </c>
      <c r="G76" s="10">
        <f t="shared" si="2"/>
        <v>2229.52</v>
      </c>
      <c r="H76" s="10">
        <f t="shared" si="3"/>
        <v>178.36</v>
      </c>
      <c r="I76" s="10">
        <f t="shared" si="4"/>
        <v>2407.88</v>
      </c>
      <c r="J76" s="19">
        <f>Plan1!B55</f>
        <v>1.130674209</v>
      </c>
      <c r="K76" s="10">
        <f t="shared" si="5"/>
        <v>2722.53</v>
      </c>
      <c r="L76" s="10">
        <f t="shared" si="7"/>
        <v>122</v>
      </c>
      <c r="M76" s="10">
        <f t="shared" si="0"/>
        <v>3321.49</v>
      </c>
      <c r="N76" s="11">
        <f t="shared" si="1"/>
        <v>6044.02</v>
      </c>
    </row>
    <row r="77" spans="1:14" ht="10.5" customHeight="1">
      <c r="A77" s="142">
        <v>38231</v>
      </c>
      <c r="B77" s="259"/>
      <c r="C77" s="321">
        <f>'01'!F134</f>
        <v>2157.6</v>
      </c>
      <c r="D77" s="10">
        <f t="shared" si="6"/>
        <v>2157.6</v>
      </c>
      <c r="E77" s="10">
        <v>0</v>
      </c>
      <c r="F77" s="10">
        <v>0</v>
      </c>
      <c r="G77" s="10">
        <f t="shared" si="2"/>
        <v>2157.6</v>
      </c>
      <c r="H77" s="10">
        <f t="shared" si="3"/>
        <v>172.61</v>
      </c>
      <c r="I77" s="10">
        <f t="shared" si="4"/>
        <v>2330.21</v>
      </c>
      <c r="J77" s="19">
        <f>Plan1!B56</f>
        <v>1.128723774</v>
      </c>
      <c r="K77" s="10">
        <f t="shared" si="5"/>
        <v>2630.16</v>
      </c>
      <c r="L77" s="10">
        <f t="shared" si="7"/>
        <v>121</v>
      </c>
      <c r="M77" s="10">
        <f t="shared" si="0"/>
        <v>3182.49</v>
      </c>
      <c r="N77" s="11">
        <f t="shared" si="1"/>
        <v>5812.65</v>
      </c>
    </row>
    <row r="78" spans="1:14" ht="10.5" customHeight="1">
      <c r="A78" s="142">
        <v>38261</v>
      </c>
      <c r="B78" s="259"/>
      <c r="C78" s="321">
        <f>'01'!F135</f>
        <v>2229.52</v>
      </c>
      <c r="D78" s="10">
        <f t="shared" si="6"/>
        <v>2229.52</v>
      </c>
      <c r="E78" s="10">
        <v>0</v>
      </c>
      <c r="F78" s="10">
        <v>0</v>
      </c>
      <c r="G78" s="10">
        <f t="shared" si="2"/>
        <v>2229.52</v>
      </c>
      <c r="H78" s="10">
        <f t="shared" si="3"/>
        <v>178.36</v>
      </c>
      <c r="I78" s="10">
        <f t="shared" si="4"/>
        <v>2407.88</v>
      </c>
      <c r="J78" s="19">
        <f>Plan1!B57</f>
        <v>1.127474533</v>
      </c>
      <c r="K78" s="10">
        <f t="shared" si="5"/>
        <v>2714.82</v>
      </c>
      <c r="L78" s="10">
        <f t="shared" si="7"/>
        <v>120</v>
      </c>
      <c r="M78" s="10">
        <f t="shared" si="0"/>
        <v>3257.78</v>
      </c>
      <c r="N78" s="11">
        <f t="shared" si="1"/>
        <v>5972.6</v>
      </c>
    </row>
    <row r="79" spans="1:14" ht="10.5" customHeight="1">
      <c r="A79" s="142">
        <v>38292</v>
      </c>
      <c r="B79" s="259"/>
      <c r="C79" s="321">
        <f>'01'!F136</f>
        <v>2157.6</v>
      </c>
      <c r="D79" s="10">
        <f t="shared" si="6"/>
        <v>2157.6</v>
      </c>
      <c r="E79" s="10">
        <v>0</v>
      </c>
      <c r="F79" s="10">
        <v>0</v>
      </c>
      <c r="G79" s="10">
        <f t="shared" si="2"/>
        <v>2157.6</v>
      </c>
      <c r="H79" s="10">
        <f t="shared" si="3"/>
        <v>172.61</v>
      </c>
      <c r="I79" s="10">
        <f t="shared" si="4"/>
        <v>2330.21</v>
      </c>
      <c r="J79" s="19">
        <f>Plan1!B58</f>
        <v>1.126183926</v>
      </c>
      <c r="K79" s="10">
        <f t="shared" si="5"/>
        <v>2624.25</v>
      </c>
      <c r="L79" s="10">
        <f t="shared" si="7"/>
        <v>119</v>
      </c>
      <c r="M79" s="10">
        <f t="shared" si="0"/>
        <v>3122.86</v>
      </c>
      <c r="N79" s="11">
        <f t="shared" si="1"/>
        <v>5747.11</v>
      </c>
    </row>
    <row r="80" spans="1:14" ht="10.5" customHeight="1">
      <c r="A80" s="142">
        <v>38322</v>
      </c>
      <c r="B80" s="259"/>
      <c r="C80" s="321">
        <f>'01'!F137</f>
        <v>2229.52</v>
      </c>
      <c r="D80" s="10">
        <f t="shared" si="6"/>
        <v>2229.52</v>
      </c>
      <c r="E80" s="10">
        <f>D79</f>
        <v>2157.6</v>
      </c>
      <c r="F80" s="10">
        <v>0</v>
      </c>
      <c r="G80" s="10">
        <f t="shared" si="2"/>
        <v>4387.12</v>
      </c>
      <c r="H80" s="10">
        <f t="shared" si="3"/>
        <v>350.97</v>
      </c>
      <c r="I80" s="10">
        <f t="shared" si="4"/>
        <v>4738.09</v>
      </c>
      <c r="J80" s="19">
        <f>Plan1!C47</f>
        <v>1.123487556</v>
      </c>
      <c r="K80" s="10">
        <f t="shared" si="5"/>
        <v>5323.19</v>
      </c>
      <c r="L80" s="10">
        <f t="shared" si="7"/>
        <v>118</v>
      </c>
      <c r="M80" s="10">
        <f t="shared" si="0"/>
        <v>6281.36</v>
      </c>
      <c r="N80" s="11">
        <f t="shared" si="1"/>
        <v>11604.55</v>
      </c>
    </row>
    <row r="81" spans="1:14" ht="10.5" customHeight="1">
      <c r="A81" s="142">
        <v>38353</v>
      </c>
      <c r="B81" s="259"/>
      <c r="C81" s="321">
        <f>'01'!F138</f>
        <v>2445.28</v>
      </c>
      <c r="D81" s="10">
        <f t="shared" si="6"/>
        <v>2445.28</v>
      </c>
      <c r="E81" s="10">
        <v>0</v>
      </c>
      <c r="F81" s="10">
        <v>0</v>
      </c>
      <c r="G81" s="10">
        <f t="shared" si="2"/>
        <v>2445.28</v>
      </c>
      <c r="H81" s="10">
        <f t="shared" si="3"/>
        <v>195.62</v>
      </c>
      <c r="I81" s="10">
        <f t="shared" si="4"/>
        <v>2640.9</v>
      </c>
      <c r="J81" s="19">
        <f>Plan1!C48</f>
        <v>1.121379362</v>
      </c>
      <c r="K81" s="10">
        <f t="shared" si="5"/>
        <v>2961.45</v>
      </c>
      <c r="L81" s="10">
        <f t="shared" si="7"/>
        <v>117</v>
      </c>
      <c r="M81" s="10">
        <f t="shared" si="0"/>
        <v>3464.9</v>
      </c>
      <c r="N81" s="11">
        <f t="shared" si="1"/>
        <v>6426.35</v>
      </c>
    </row>
    <row r="82" spans="1:14" ht="10.5" customHeight="1">
      <c r="A82" s="142">
        <v>38384</v>
      </c>
      <c r="B82" s="259"/>
      <c r="C82" s="321">
        <f>'01'!F139</f>
        <v>2208.64</v>
      </c>
      <c r="D82" s="10">
        <f t="shared" si="6"/>
        <v>2208.64</v>
      </c>
      <c r="E82" s="10">
        <v>0</v>
      </c>
      <c r="F82" s="10">
        <v>0</v>
      </c>
      <c r="G82" s="10">
        <f t="shared" si="2"/>
        <v>2208.64</v>
      </c>
      <c r="H82" s="10">
        <f t="shared" si="3"/>
        <v>176.69</v>
      </c>
      <c r="I82" s="10">
        <f t="shared" si="4"/>
        <v>2385.33</v>
      </c>
      <c r="J82" s="19">
        <f>Plan1!C49</f>
        <v>1.120301632</v>
      </c>
      <c r="K82" s="10">
        <f t="shared" si="5"/>
        <v>2672.29</v>
      </c>
      <c r="L82" s="10">
        <f t="shared" si="7"/>
        <v>116</v>
      </c>
      <c r="M82" s="10">
        <f t="shared" si="0"/>
        <v>3099.86</v>
      </c>
      <c r="N82" s="11">
        <f t="shared" si="1"/>
        <v>5772.15</v>
      </c>
    </row>
    <row r="83" spans="1:14" ht="10.5" customHeight="1">
      <c r="A83" s="142">
        <v>38412</v>
      </c>
      <c r="B83" s="259"/>
      <c r="C83" s="321">
        <f>'01'!F140</f>
        <v>2445.28</v>
      </c>
      <c r="D83" s="10">
        <f t="shared" si="6"/>
        <v>2445.28</v>
      </c>
      <c r="E83" s="10">
        <v>0</v>
      </c>
      <c r="F83" s="10">
        <v>0</v>
      </c>
      <c r="G83" s="10">
        <f t="shared" si="2"/>
        <v>2445.28</v>
      </c>
      <c r="H83" s="10">
        <f t="shared" si="3"/>
        <v>195.62</v>
      </c>
      <c r="I83" s="10">
        <f t="shared" si="4"/>
        <v>2640.9</v>
      </c>
      <c r="J83" s="19">
        <f>Plan1!C50</f>
        <v>1.117357396</v>
      </c>
      <c r="K83" s="10">
        <f t="shared" si="5"/>
        <v>2950.83</v>
      </c>
      <c r="L83" s="10">
        <f t="shared" si="7"/>
        <v>115</v>
      </c>
      <c r="M83" s="10">
        <f t="shared" si="0"/>
        <v>3393.45</v>
      </c>
      <c r="N83" s="11">
        <f t="shared" si="1"/>
        <v>6344.28</v>
      </c>
    </row>
    <row r="84" spans="1:14" ht="10.5" customHeight="1">
      <c r="A84" s="142">
        <v>38443</v>
      </c>
      <c r="B84" s="259"/>
      <c r="C84" s="321">
        <f>'01'!F141</f>
        <v>2366.4</v>
      </c>
      <c r="D84" s="10">
        <v>0</v>
      </c>
      <c r="E84" s="10">
        <v>0</v>
      </c>
      <c r="F84" s="10">
        <f>2366.4*1.333333</f>
        <v>3155.2</v>
      </c>
      <c r="G84" s="10">
        <f t="shared" si="2"/>
        <v>3155.2</v>
      </c>
      <c r="H84" s="10">
        <f t="shared" si="3"/>
        <v>252.42</v>
      </c>
      <c r="I84" s="10">
        <f t="shared" si="4"/>
        <v>3407.62</v>
      </c>
      <c r="J84" s="19">
        <f>Plan1!C51</f>
        <v>1.115123803</v>
      </c>
      <c r="K84" s="10">
        <f t="shared" si="5"/>
        <v>3799.92</v>
      </c>
      <c r="L84" s="10">
        <f t="shared" si="7"/>
        <v>114</v>
      </c>
      <c r="M84" s="10">
        <f t="shared" si="0"/>
        <v>4331.91</v>
      </c>
      <c r="N84" s="11">
        <f t="shared" si="1"/>
        <v>8131.83</v>
      </c>
    </row>
    <row r="85" spans="1:14" ht="10.5" customHeight="1">
      <c r="A85" s="142">
        <v>38473</v>
      </c>
      <c r="B85" s="259"/>
      <c r="C85" s="321">
        <f>'01'!F142</f>
        <v>2445.28</v>
      </c>
      <c r="D85" s="10">
        <f t="shared" si="6"/>
        <v>2445.28</v>
      </c>
      <c r="E85" s="10">
        <v>0</v>
      </c>
      <c r="F85" s="10">
        <v>0</v>
      </c>
      <c r="G85" s="10">
        <f t="shared" si="2"/>
        <v>2445.28</v>
      </c>
      <c r="H85" s="10">
        <f t="shared" si="3"/>
        <v>195.62</v>
      </c>
      <c r="I85" s="10">
        <f t="shared" si="4"/>
        <v>2640.9</v>
      </c>
      <c r="J85" s="19">
        <f>Plan1!C52</f>
        <v>1.112312988</v>
      </c>
      <c r="K85" s="10">
        <f t="shared" si="5"/>
        <v>2937.51</v>
      </c>
      <c r="L85" s="10">
        <f t="shared" si="7"/>
        <v>113</v>
      </c>
      <c r="M85" s="10">
        <f t="shared" si="0"/>
        <v>3319.39</v>
      </c>
      <c r="N85" s="11">
        <f t="shared" si="1"/>
        <v>6256.9</v>
      </c>
    </row>
    <row r="86" spans="1:14" ht="10.5" customHeight="1">
      <c r="A86" s="142">
        <v>38504</v>
      </c>
      <c r="B86" s="259"/>
      <c r="C86" s="321">
        <f>'01'!F143</f>
        <v>2366.4</v>
      </c>
      <c r="D86" s="10">
        <f t="shared" si="6"/>
        <v>2366.4</v>
      </c>
      <c r="E86" s="10">
        <v>0</v>
      </c>
      <c r="F86" s="10">
        <v>0</v>
      </c>
      <c r="G86" s="10">
        <f t="shared" si="2"/>
        <v>2366.4</v>
      </c>
      <c r="H86" s="10">
        <f t="shared" si="3"/>
        <v>189.31</v>
      </c>
      <c r="I86" s="10">
        <f t="shared" si="4"/>
        <v>2555.71</v>
      </c>
      <c r="J86" s="19">
        <f>Plan1!C53</f>
        <v>1.108993769</v>
      </c>
      <c r="K86" s="10">
        <f t="shared" si="5"/>
        <v>2834.27</v>
      </c>
      <c r="L86" s="10">
        <f t="shared" si="7"/>
        <v>112</v>
      </c>
      <c r="M86" s="10">
        <f t="shared" si="0"/>
        <v>3174.38</v>
      </c>
      <c r="N86" s="11">
        <f t="shared" si="1"/>
        <v>6008.65</v>
      </c>
    </row>
    <row r="87" spans="1:14" ht="10.5" customHeight="1">
      <c r="A87" s="142">
        <v>38534</v>
      </c>
      <c r="B87" s="259"/>
      <c r="C87" s="321">
        <f>'01'!F144</f>
        <v>2445.28</v>
      </c>
      <c r="D87" s="10">
        <f t="shared" si="6"/>
        <v>2445.28</v>
      </c>
      <c r="E87" s="10">
        <v>0</v>
      </c>
      <c r="F87" s="10">
        <v>0</v>
      </c>
      <c r="G87" s="10">
        <f t="shared" si="2"/>
        <v>2445.28</v>
      </c>
      <c r="H87" s="10">
        <f t="shared" si="3"/>
        <v>195.62</v>
      </c>
      <c r="I87" s="10">
        <f t="shared" si="4"/>
        <v>2640.9</v>
      </c>
      <c r="J87" s="19">
        <f>Plan1!C54</f>
        <v>1.106145445</v>
      </c>
      <c r="K87" s="10">
        <f t="shared" si="5"/>
        <v>2921.22</v>
      </c>
      <c r="L87" s="10">
        <f t="shared" si="7"/>
        <v>111</v>
      </c>
      <c r="M87" s="10">
        <f t="shared" si="0"/>
        <v>3242.55</v>
      </c>
      <c r="N87" s="11">
        <f t="shared" si="1"/>
        <v>6163.77</v>
      </c>
    </row>
    <row r="88" spans="1:14" ht="10.5" customHeight="1">
      <c r="A88" s="142">
        <v>38565</v>
      </c>
      <c r="B88" s="259"/>
      <c r="C88" s="321">
        <f>'01'!F145</f>
        <v>2445.28</v>
      </c>
      <c r="D88" s="10">
        <f t="shared" si="6"/>
        <v>2445.28</v>
      </c>
      <c r="E88" s="10">
        <v>0</v>
      </c>
      <c r="F88" s="10">
        <v>0</v>
      </c>
      <c r="G88" s="10">
        <f t="shared" si="2"/>
        <v>2445.28</v>
      </c>
      <c r="H88" s="10">
        <f t="shared" si="3"/>
        <v>195.62</v>
      </c>
      <c r="I88" s="10">
        <f t="shared" si="4"/>
        <v>2640.9</v>
      </c>
      <c r="J88" s="19">
        <f>Plan1!C55</f>
        <v>1.102324787</v>
      </c>
      <c r="K88" s="10">
        <f t="shared" si="5"/>
        <v>2911.13</v>
      </c>
      <c r="L88" s="10">
        <f t="shared" si="7"/>
        <v>110</v>
      </c>
      <c r="M88" s="10">
        <f aca="true" t="shared" si="8" ref="M88:M151">(K88*L88%)</f>
        <v>3202.24</v>
      </c>
      <c r="N88" s="11">
        <f aca="true" t="shared" si="9" ref="N88:N151">K88+M88</f>
        <v>6113.37</v>
      </c>
    </row>
    <row r="89" spans="1:14" ht="10.5" customHeight="1">
      <c r="A89" s="142">
        <v>38596</v>
      </c>
      <c r="B89" s="259"/>
      <c r="C89" s="321">
        <f>'01'!F146</f>
        <v>2366.4</v>
      </c>
      <c r="D89" s="10">
        <f t="shared" si="6"/>
        <v>2366.4</v>
      </c>
      <c r="E89" s="10">
        <v>0</v>
      </c>
      <c r="F89" s="10">
        <v>0</v>
      </c>
      <c r="G89" s="10">
        <f aca="true" t="shared" si="10" ref="G89:G152">D89+E89+F89</f>
        <v>2366.4</v>
      </c>
      <c r="H89" s="10">
        <f aca="true" t="shared" si="11" ref="H89:H152">G89*8%</f>
        <v>189.31</v>
      </c>
      <c r="I89" s="10">
        <f aca="true" t="shared" si="12" ref="I89:I152">G89+H89</f>
        <v>2555.71</v>
      </c>
      <c r="J89" s="19">
        <f>Plan1!C56</f>
        <v>1.099425602</v>
      </c>
      <c r="K89" s="10">
        <f aca="true" t="shared" si="13" ref="K89:K152">I89*J89</f>
        <v>2809.81</v>
      </c>
      <c r="L89" s="10">
        <f t="shared" si="7"/>
        <v>109</v>
      </c>
      <c r="M89" s="10">
        <f t="shared" si="8"/>
        <v>3062.69</v>
      </c>
      <c r="N89" s="11">
        <f t="shared" si="9"/>
        <v>5872.5</v>
      </c>
    </row>
    <row r="90" spans="1:14" ht="10.5" customHeight="1">
      <c r="A90" s="142">
        <v>38626</v>
      </c>
      <c r="B90" s="259"/>
      <c r="C90" s="321">
        <f>'01'!F147</f>
        <v>2445.28</v>
      </c>
      <c r="D90" s="10">
        <f aca="true" t="shared" si="14" ref="D90:D153">C90</f>
        <v>2445.28</v>
      </c>
      <c r="E90" s="10">
        <v>0</v>
      </c>
      <c r="F90" s="10">
        <v>0</v>
      </c>
      <c r="G90" s="10">
        <f t="shared" si="10"/>
        <v>2445.28</v>
      </c>
      <c r="H90" s="10">
        <f t="shared" si="11"/>
        <v>195.62</v>
      </c>
      <c r="I90" s="10">
        <f t="shared" si="12"/>
        <v>2640.9</v>
      </c>
      <c r="J90" s="19">
        <f>Plan1!C57</f>
        <v>1.097121646</v>
      </c>
      <c r="K90" s="10">
        <f t="shared" si="13"/>
        <v>2897.39</v>
      </c>
      <c r="L90" s="10">
        <f aca="true" t="shared" si="15" ref="L90:L153">L89-1</f>
        <v>108</v>
      </c>
      <c r="M90" s="10">
        <f t="shared" si="8"/>
        <v>3129.18</v>
      </c>
      <c r="N90" s="11">
        <f t="shared" si="9"/>
        <v>6026.57</v>
      </c>
    </row>
    <row r="91" spans="1:14" ht="10.5" customHeight="1">
      <c r="A91" s="142">
        <v>38657</v>
      </c>
      <c r="B91" s="259"/>
      <c r="C91" s="321">
        <f>'01'!F148</f>
        <v>2366.4</v>
      </c>
      <c r="D91" s="10">
        <f t="shared" si="14"/>
        <v>2366.4</v>
      </c>
      <c r="E91" s="10">
        <v>0</v>
      </c>
      <c r="F91" s="10">
        <v>0</v>
      </c>
      <c r="G91" s="10">
        <f t="shared" si="10"/>
        <v>2366.4</v>
      </c>
      <c r="H91" s="10">
        <f t="shared" si="11"/>
        <v>189.31</v>
      </c>
      <c r="I91" s="10">
        <f t="shared" si="12"/>
        <v>2555.71</v>
      </c>
      <c r="J91" s="19">
        <f>Plan1!C58</f>
        <v>1.095009373</v>
      </c>
      <c r="K91" s="10">
        <f t="shared" si="13"/>
        <v>2798.53</v>
      </c>
      <c r="L91" s="10">
        <f t="shared" si="15"/>
        <v>107</v>
      </c>
      <c r="M91" s="10">
        <f t="shared" si="8"/>
        <v>2994.43</v>
      </c>
      <c r="N91" s="11">
        <f t="shared" si="9"/>
        <v>5792.96</v>
      </c>
    </row>
    <row r="92" spans="1:14" ht="10.5" customHeight="1">
      <c r="A92" s="142">
        <v>38687</v>
      </c>
      <c r="B92" s="259"/>
      <c r="C92" s="321">
        <f>'01'!F149</f>
        <v>2445.28</v>
      </c>
      <c r="D92" s="10">
        <f t="shared" si="14"/>
        <v>2445.28</v>
      </c>
      <c r="E92" s="10">
        <f>D91</f>
        <v>2366.4</v>
      </c>
      <c r="F92" s="10">
        <v>0</v>
      </c>
      <c r="G92" s="10">
        <f t="shared" si="10"/>
        <v>4811.68</v>
      </c>
      <c r="H92" s="10">
        <f t="shared" si="11"/>
        <v>384.93</v>
      </c>
      <c r="I92" s="10">
        <f t="shared" si="12"/>
        <v>5196.61</v>
      </c>
      <c r="J92" s="19">
        <f>Plan1!D47</f>
        <v>1.092530422</v>
      </c>
      <c r="K92" s="10">
        <f t="shared" si="13"/>
        <v>5677.45</v>
      </c>
      <c r="L92" s="10">
        <f t="shared" si="15"/>
        <v>106</v>
      </c>
      <c r="M92" s="10">
        <f t="shared" si="8"/>
        <v>6018.1</v>
      </c>
      <c r="N92" s="11">
        <f t="shared" si="9"/>
        <v>11695.55</v>
      </c>
    </row>
    <row r="93" spans="1:14" ht="10.5" customHeight="1">
      <c r="A93" s="142">
        <v>38718</v>
      </c>
      <c r="B93" s="259"/>
      <c r="C93" s="321">
        <f>'01'!F150</f>
        <v>2648.64</v>
      </c>
      <c r="D93" s="10">
        <f t="shared" si="14"/>
        <v>2648.64</v>
      </c>
      <c r="E93" s="10">
        <v>0</v>
      </c>
      <c r="F93" s="10">
        <v>0</v>
      </c>
      <c r="G93" s="10">
        <f t="shared" si="10"/>
        <v>2648.64</v>
      </c>
      <c r="H93" s="10">
        <f t="shared" si="11"/>
        <v>211.89</v>
      </c>
      <c r="I93" s="10">
        <f t="shared" si="12"/>
        <v>2860.53</v>
      </c>
      <c r="J93" s="19">
        <f>Plan1!D48</f>
        <v>1.089995093</v>
      </c>
      <c r="K93" s="10">
        <f t="shared" si="13"/>
        <v>3117.96</v>
      </c>
      <c r="L93" s="10">
        <f t="shared" si="15"/>
        <v>105</v>
      </c>
      <c r="M93" s="10">
        <f t="shared" si="8"/>
        <v>3273.86</v>
      </c>
      <c r="N93" s="11">
        <f t="shared" si="9"/>
        <v>6391.82</v>
      </c>
    </row>
    <row r="94" spans="1:14" ht="10.5" customHeight="1">
      <c r="A94" s="142">
        <v>38749</v>
      </c>
      <c r="B94" s="259"/>
      <c r="C94" s="321">
        <f>'01'!F151</f>
        <v>2392.32</v>
      </c>
      <c r="D94" s="10">
        <f t="shared" si="14"/>
        <v>2392.32</v>
      </c>
      <c r="E94" s="10">
        <v>0</v>
      </c>
      <c r="F94" s="10">
        <v>0</v>
      </c>
      <c r="G94" s="10">
        <f t="shared" si="10"/>
        <v>2392.32</v>
      </c>
      <c r="H94" s="10">
        <f t="shared" si="11"/>
        <v>191.39</v>
      </c>
      <c r="I94" s="10">
        <f t="shared" si="12"/>
        <v>2583.71</v>
      </c>
      <c r="J94" s="19">
        <f>Plan1!D49</f>
        <v>1.089205419</v>
      </c>
      <c r="K94" s="10">
        <f t="shared" si="13"/>
        <v>2814.19</v>
      </c>
      <c r="L94" s="10">
        <f t="shared" si="15"/>
        <v>104</v>
      </c>
      <c r="M94" s="10">
        <f t="shared" si="8"/>
        <v>2926.76</v>
      </c>
      <c r="N94" s="11">
        <f t="shared" si="9"/>
        <v>5740.95</v>
      </c>
    </row>
    <row r="95" spans="1:14" ht="10.5" customHeight="1">
      <c r="A95" s="142">
        <v>38777</v>
      </c>
      <c r="B95" s="259"/>
      <c r="C95" s="321">
        <f>'01'!F152</f>
        <v>2648.64</v>
      </c>
      <c r="D95" s="10">
        <f t="shared" si="14"/>
        <v>2648.64</v>
      </c>
      <c r="E95" s="10">
        <v>0</v>
      </c>
      <c r="F95" s="10">
        <v>0</v>
      </c>
      <c r="G95" s="10">
        <f t="shared" si="10"/>
        <v>2648.64</v>
      </c>
      <c r="H95" s="10">
        <f t="shared" si="11"/>
        <v>211.89</v>
      </c>
      <c r="I95" s="10">
        <f t="shared" si="12"/>
        <v>2860.53</v>
      </c>
      <c r="J95" s="19">
        <f>Plan1!D50</f>
        <v>1.086952167</v>
      </c>
      <c r="K95" s="10">
        <f t="shared" si="13"/>
        <v>3109.26</v>
      </c>
      <c r="L95" s="10">
        <f t="shared" si="15"/>
        <v>103</v>
      </c>
      <c r="M95" s="10">
        <f t="shared" si="8"/>
        <v>3202.54</v>
      </c>
      <c r="N95" s="11">
        <f t="shared" si="9"/>
        <v>6311.8</v>
      </c>
    </row>
    <row r="96" spans="1:14" ht="10.5" customHeight="1">
      <c r="A96" s="142">
        <v>38808</v>
      </c>
      <c r="B96" s="259"/>
      <c r="C96" s="321">
        <f>'01'!F153</f>
        <v>2563.2</v>
      </c>
      <c r="D96" s="10">
        <v>0</v>
      </c>
      <c r="E96" s="10">
        <v>0</v>
      </c>
      <c r="F96" s="10">
        <f>2563.2*1.333333</f>
        <v>3417.6</v>
      </c>
      <c r="G96" s="10">
        <f t="shared" si="10"/>
        <v>3417.6</v>
      </c>
      <c r="H96" s="10">
        <f t="shared" si="11"/>
        <v>273.41</v>
      </c>
      <c r="I96" s="10">
        <f t="shared" si="12"/>
        <v>3691.01</v>
      </c>
      <c r="J96" s="19">
        <f>Plan1!D51</f>
        <v>1.086023617</v>
      </c>
      <c r="K96" s="10">
        <f t="shared" si="13"/>
        <v>4008.52</v>
      </c>
      <c r="L96" s="10">
        <f t="shared" si="15"/>
        <v>102</v>
      </c>
      <c r="M96" s="10">
        <f t="shared" si="8"/>
        <v>4088.69</v>
      </c>
      <c r="N96" s="11">
        <f t="shared" si="9"/>
        <v>8097.21</v>
      </c>
    </row>
    <row r="97" spans="1:14" ht="10.5" customHeight="1">
      <c r="A97" s="142">
        <v>38838</v>
      </c>
      <c r="B97" s="259"/>
      <c r="C97" s="321">
        <f>'01'!F154</f>
        <v>2648.64</v>
      </c>
      <c r="D97" s="10">
        <f t="shared" si="14"/>
        <v>2648.64</v>
      </c>
      <c r="E97" s="10">
        <v>0</v>
      </c>
      <c r="F97" s="10">
        <v>0</v>
      </c>
      <c r="G97" s="10">
        <f t="shared" si="10"/>
        <v>2648.64</v>
      </c>
      <c r="H97" s="10">
        <f t="shared" si="11"/>
        <v>211.89</v>
      </c>
      <c r="I97" s="10">
        <f t="shared" si="12"/>
        <v>2860.53</v>
      </c>
      <c r="J97" s="19">
        <f>Plan1!D52</f>
        <v>1.083977068</v>
      </c>
      <c r="K97" s="10">
        <f t="shared" si="13"/>
        <v>3100.75</v>
      </c>
      <c r="L97" s="10">
        <f t="shared" si="15"/>
        <v>101</v>
      </c>
      <c r="M97" s="10">
        <f t="shared" si="8"/>
        <v>3131.76</v>
      </c>
      <c r="N97" s="11">
        <f t="shared" si="9"/>
        <v>6232.51</v>
      </c>
    </row>
    <row r="98" spans="1:14" ht="10.5" customHeight="1">
      <c r="A98" s="142">
        <v>38869</v>
      </c>
      <c r="B98" s="259"/>
      <c r="C98" s="321">
        <f>'01'!F155</f>
        <v>2563.2</v>
      </c>
      <c r="D98" s="10">
        <f t="shared" si="14"/>
        <v>2563.2</v>
      </c>
      <c r="E98" s="10">
        <v>0</v>
      </c>
      <c r="F98" s="10">
        <v>0</v>
      </c>
      <c r="G98" s="10">
        <f t="shared" si="10"/>
        <v>2563.2</v>
      </c>
      <c r="H98" s="10">
        <f t="shared" si="11"/>
        <v>205.06</v>
      </c>
      <c r="I98" s="10">
        <f t="shared" si="12"/>
        <v>2768.26</v>
      </c>
      <c r="J98" s="19">
        <f>Plan1!D53</f>
        <v>1.081881464</v>
      </c>
      <c r="K98" s="10">
        <f t="shared" si="13"/>
        <v>2994.93</v>
      </c>
      <c r="L98" s="10">
        <f t="shared" si="15"/>
        <v>100</v>
      </c>
      <c r="M98" s="10">
        <f t="shared" si="8"/>
        <v>2994.93</v>
      </c>
      <c r="N98" s="11">
        <f t="shared" si="9"/>
        <v>5989.86</v>
      </c>
    </row>
    <row r="99" spans="1:14" ht="10.5" customHeight="1">
      <c r="A99" s="142">
        <v>38899</v>
      </c>
      <c r="B99" s="259"/>
      <c r="C99" s="321">
        <f>'01'!F156</f>
        <v>2648.64</v>
      </c>
      <c r="D99" s="10">
        <f t="shared" si="14"/>
        <v>2648.64</v>
      </c>
      <c r="E99" s="10">
        <v>0</v>
      </c>
      <c r="F99" s="10">
        <v>0</v>
      </c>
      <c r="G99" s="10">
        <f t="shared" si="10"/>
        <v>2648.64</v>
      </c>
      <c r="H99" s="10">
        <f t="shared" si="11"/>
        <v>211.89</v>
      </c>
      <c r="I99" s="10">
        <f t="shared" si="12"/>
        <v>2860.53</v>
      </c>
      <c r="J99" s="19">
        <f>Plan1!D54</f>
        <v>1.079990401</v>
      </c>
      <c r="K99" s="10">
        <f t="shared" si="13"/>
        <v>3089.34</v>
      </c>
      <c r="L99" s="10">
        <f t="shared" si="15"/>
        <v>99</v>
      </c>
      <c r="M99" s="10">
        <f t="shared" si="8"/>
        <v>3058.45</v>
      </c>
      <c r="N99" s="11">
        <f t="shared" si="9"/>
        <v>6147.79</v>
      </c>
    </row>
    <row r="100" spans="1:14" ht="10.5" customHeight="1">
      <c r="A100" s="142">
        <v>38930</v>
      </c>
      <c r="B100" s="259"/>
      <c r="C100" s="321">
        <f>'01'!F157</f>
        <v>2648.64</v>
      </c>
      <c r="D100" s="10">
        <f t="shared" si="14"/>
        <v>2648.64</v>
      </c>
      <c r="E100" s="10">
        <v>0</v>
      </c>
      <c r="F100" s="10">
        <v>0</v>
      </c>
      <c r="G100" s="10">
        <f t="shared" si="10"/>
        <v>2648.64</v>
      </c>
      <c r="H100" s="10">
        <f t="shared" si="11"/>
        <v>211.89</v>
      </c>
      <c r="I100" s="10">
        <f t="shared" si="12"/>
        <v>2860.53</v>
      </c>
      <c r="J100" s="19">
        <f>Plan1!D55</f>
        <v>1.077365937</v>
      </c>
      <c r="K100" s="10">
        <f t="shared" si="13"/>
        <v>3081.84</v>
      </c>
      <c r="L100" s="10">
        <f t="shared" si="15"/>
        <v>98</v>
      </c>
      <c r="M100" s="10">
        <f t="shared" si="8"/>
        <v>3020.2</v>
      </c>
      <c r="N100" s="11">
        <f t="shared" si="9"/>
        <v>6102.04</v>
      </c>
    </row>
    <row r="101" spans="1:14" ht="10.5" customHeight="1">
      <c r="A101" s="142">
        <v>38961</v>
      </c>
      <c r="B101" s="259"/>
      <c r="C101" s="321">
        <f>'01'!F158</f>
        <v>2563.2</v>
      </c>
      <c r="D101" s="10">
        <f t="shared" si="14"/>
        <v>2563.2</v>
      </c>
      <c r="E101" s="10">
        <v>0</v>
      </c>
      <c r="F101" s="10">
        <v>0</v>
      </c>
      <c r="G101" s="10">
        <f t="shared" si="10"/>
        <v>2563.2</v>
      </c>
      <c r="H101" s="10">
        <f t="shared" si="11"/>
        <v>205.06</v>
      </c>
      <c r="I101" s="10">
        <f t="shared" si="12"/>
        <v>2768.26</v>
      </c>
      <c r="J101" s="19">
        <f>Plan1!D56</f>
        <v>1.075729752</v>
      </c>
      <c r="K101" s="10">
        <f t="shared" si="13"/>
        <v>2977.9</v>
      </c>
      <c r="L101" s="10">
        <f t="shared" si="15"/>
        <v>97</v>
      </c>
      <c r="M101" s="10">
        <f t="shared" si="8"/>
        <v>2888.56</v>
      </c>
      <c r="N101" s="11">
        <f t="shared" si="9"/>
        <v>5866.46</v>
      </c>
    </row>
    <row r="102" spans="1:14" ht="10.5" customHeight="1">
      <c r="A102" s="142">
        <v>38991</v>
      </c>
      <c r="B102" s="259"/>
      <c r="C102" s="321">
        <f>'01'!F159</f>
        <v>2648.64</v>
      </c>
      <c r="D102" s="10">
        <f t="shared" si="14"/>
        <v>2648.64</v>
      </c>
      <c r="E102" s="10">
        <v>0</v>
      </c>
      <c r="F102" s="10">
        <v>0</v>
      </c>
      <c r="G102" s="10">
        <f t="shared" si="10"/>
        <v>2648.64</v>
      </c>
      <c r="H102" s="10">
        <f t="shared" si="11"/>
        <v>211.89</v>
      </c>
      <c r="I102" s="10">
        <f t="shared" si="12"/>
        <v>2860.53</v>
      </c>
      <c r="J102" s="19">
        <f>Plan1!D57</f>
        <v>1.073716534</v>
      </c>
      <c r="K102" s="10">
        <f t="shared" si="13"/>
        <v>3071.4</v>
      </c>
      <c r="L102" s="10">
        <f t="shared" si="15"/>
        <v>96</v>
      </c>
      <c r="M102" s="10">
        <f t="shared" si="8"/>
        <v>2948.54</v>
      </c>
      <c r="N102" s="11">
        <f t="shared" si="9"/>
        <v>6019.94</v>
      </c>
    </row>
    <row r="103" spans="1:14" ht="10.5" customHeight="1">
      <c r="A103" s="142">
        <v>39022</v>
      </c>
      <c r="B103" s="259"/>
      <c r="C103" s="321">
        <f>'01'!F160</f>
        <v>2563.2</v>
      </c>
      <c r="D103" s="10">
        <f t="shared" si="14"/>
        <v>2563.2</v>
      </c>
      <c r="E103" s="10">
        <v>0</v>
      </c>
      <c r="F103" s="10">
        <v>0</v>
      </c>
      <c r="G103" s="10">
        <f t="shared" si="10"/>
        <v>2563.2</v>
      </c>
      <c r="H103" s="10">
        <f t="shared" si="11"/>
        <v>205.06</v>
      </c>
      <c r="I103" s="10">
        <f t="shared" si="12"/>
        <v>2768.26</v>
      </c>
      <c r="J103" s="19">
        <f>Plan1!D58</f>
        <v>1.072341792</v>
      </c>
      <c r="K103" s="10">
        <f t="shared" si="13"/>
        <v>2968.52</v>
      </c>
      <c r="L103" s="10">
        <f t="shared" si="15"/>
        <v>95</v>
      </c>
      <c r="M103" s="10">
        <f t="shared" si="8"/>
        <v>2820.09</v>
      </c>
      <c r="N103" s="11">
        <f t="shared" si="9"/>
        <v>5788.61</v>
      </c>
    </row>
    <row r="104" spans="1:14" ht="10.5" customHeight="1">
      <c r="A104" s="142">
        <v>39052</v>
      </c>
      <c r="B104" s="259"/>
      <c r="C104" s="321">
        <f>'01'!F161</f>
        <v>2648.64</v>
      </c>
      <c r="D104" s="10">
        <f t="shared" si="14"/>
        <v>2648.64</v>
      </c>
      <c r="E104" s="10">
        <f>D103</f>
        <v>2563.2</v>
      </c>
      <c r="F104" s="10">
        <v>0</v>
      </c>
      <c r="G104" s="10">
        <f t="shared" si="10"/>
        <v>5211.84</v>
      </c>
      <c r="H104" s="10">
        <f t="shared" si="11"/>
        <v>416.95</v>
      </c>
      <c r="I104" s="10">
        <f t="shared" si="12"/>
        <v>5628.79</v>
      </c>
      <c r="J104" s="19">
        <f>Plan1!E47</f>
        <v>1.070712168</v>
      </c>
      <c r="K104" s="10">
        <f t="shared" si="13"/>
        <v>6026.81</v>
      </c>
      <c r="L104" s="10">
        <f t="shared" si="15"/>
        <v>94</v>
      </c>
      <c r="M104" s="10">
        <f t="shared" si="8"/>
        <v>5665.2</v>
      </c>
      <c r="N104" s="11">
        <f t="shared" si="9"/>
        <v>11692.01</v>
      </c>
    </row>
    <row r="105" spans="1:14" ht="10.5" customHeight="1">
      <c r="A105" s="142">
        <v>39083</v>
      </c>
      <c r="B105" s="259"/>
      <c r="C105" s="321">
        <f>'01'!F162</f>
        <v>2780.08</v>
      </c>
      <c r="D105" s="10">
        <f t="shared" si="14"/>
        <v>2780.08</v>
      </c>
      <c r="E105" s="10">
        <v>0</v>
      </c>
      <c r="F105" s="10">
        <v>0</v>
      </c>
      <c r="G105" s="10">
        <f t="shared" si="10"/>
        <v>2780.08</v>
      </c>
      <c r="H105" s="10">
        <f t="shared" si="11"/>
        <v>222.41</v>
      </c>
      <c r="I105" s="10">
        <f t="shared" si="12"/>
        <v>3002.49</v>
      </c>
      <c r="J105" s="19">
        <f>Plan1!E48</f>
        <v>1.068373498</v>
      </c>
      <c r="K105" s="10">
        <f t="shared" si="13"/>
        <v>3207.78</v>
      </c>
      <c r="L105" s="10">
        <f t="shared" si="15"/>
        <v>93</v>
      </c>
      <c r="M105" s="10">
        <f t="shared" si="8"/>
        <v>2983.24</v>
      </c>
      <c r="N105" s="11">
        <f t="shared" si="9"/>
        <v>6191.02</v>
      </c>
    </row>
    <row r="106" spans="1:14" ht="10.5" customHeight="1">
      <c r="A106" s="142">
        <v>39114</v>
      </c>
      <c r="B106" s="259"/>
      <c r="C106" s="321">
        <f>'01'!F163</f>
        <v>2511.04</v>
      </c>
      <c r="D106" s="10">
        <f t="shared" si="14"/>
        <v>2511.04</v>
      </c>
      <c r="E106" s="10">
        <v>0</v>
      </c>
      <c r="F106" s="10">
        <v>0</v>
      </c>
      <c r="G106" s="10">
        <f t="shared" si="10"/>
        <v>2511.04</v>
      </c>
      <c r="H106" s="10">
        <f t="shared" si="11"/>
        <v>200.88</v>
      </c>
      <c r="I106" s="10">
        <f t="shared" si="12"/>
        <v>2711.92</v>
      </c>
      <c r="J106" s="19">
        <f>Plan1!E49</f>
        <v>1.067603756</v>
      </c>
      <c r="K106" s="10">
        <f t="shared" si="13"/>
        <v>2895.26</v>
      </c>
      <c r="L106" s="10">
        <f t="shared" si="15"/>
        <v>92</v>
      </c>
      <c r="M106" s="10">
        <f t="shared" si="8"/>
        <v>2663.64</v>
      </c>
      <c r="N106" s="11">
        <f t="shared" si="9"/>
        <v>5558.9</v>
      </c>
    </row>
    <row r="107" spans="1:14" ht="10.5" customHeight="1">
      <c r="A107" s="142">
        <v>39142</v>
      </c>
      <c r="B107" s="259"/>
      <c r="C107" s="321">
        <f>'01'!F164</f>
        <v>2780.08</v>
      </c>
      <c r="D107" s="10">
        <f t="shared" si="14"/>
        <v>2780.08</v>
      </c>
      <c r="E107" s="10">
        <v>0</v>
      </c>
      <c r="F107" s="10">
        <v>0</v>
      </c>
      <c r="G107" s="10">
        <f t="shared" si="10"/>
        <v>2780.08</v>
      </c>
      <c r="H107" s="10">
        <f t="shared" si="11"/>
        <v>222.41</v>
      </c>
      <c r="I107" s="10">
        <f t="shared" si="12"/>
        <v>3002.49</v>
      </c>
      <c r="J107" s="19">
        <f>Plan1!E50</f>
        <v>1.065604682</v>
      </c>
      <c r="K107" s="10">
        <f t="shared" si="13"/>
        <v>3199.47</v>
      </c>
      <c r="L107" s="10">
        <f t="shared" si="15"/>
        <v>91</v>
      </c>
      <c r="M107" s="10">
        <f t="shared" si="8"/>
        <v>2911.52</v>
      </c>
      <c r="N107" s="11">
        <f t="shared" si="9"/>
        <v>6110.99</v>
      </c>
    </row>
    <row r="108" spans="1:14" ht="10.5" customHeight="1">
      <c r="A108" s="142">
        <v>39173</v>
      </c>
      <c r="B108" s="259"/>
      <c r="C108" s="321">
        <f>'01'!F165</f>
        <v>2690.4</v>
      </c>
      <c r="D108" s="10">
        <v>0</v>
      </c>
      <c r="E108" s="10">
        <v>0</v>
      </c>
      <c r="F108" s="10">
        <f>2690.4*1.333333</f>
        <v>3587.2</v>
      </c>
      <c r="G108" s="10">
        <f t="shared" si="10"/>
        <v>3587.2</v>
      </c>
      <c r="H108" s="10">
        <f t="shared" si="11"/>
        <v>286.98</v>
      </c>
      <c r="I108" s="10">
        <f t="shared" si="12"/>
        <v>3874.18</v>
      </c>
      <c r="J108" s="19">
        <f>Plan1!E51</f>
        <v>1.064250954</v>
      </c>
      <c r="K108" s="10">
        <f t="shared" si="13"/>
        <v>4123.1</v>
      </c>
      <c r="L108" s="10">
        <f t="shared" si="15"/>
        <v>90</v>
      </c>
      <c r="M108" s="10">
        <f t="shared" si="8"/>
        <v>3710.79</v>
      </c>
      <c r="N108" s="11">
        <f t="shared" si="9"/>
        <v>7833.89</v>
      </c>
    </row>
    <row r="109" spans="1:14" ht="10.5" customHeight="1">
      <c r="A109" s="142">
        <v>39203</v>
      </c>
      <c r="B109" s="259"/>
      <c r="C109" s="321">
        <f>'01'!F166</f>
        <v>2780.08</v>
      </c>
      <c r="D109" s="10">
        <f t="shared" si="14"/>
        <v>2780.08</v>
      </c>
      <c r="E109" s="10">
        <v>0</v>
      </c>
      <c r="F109" s="10">
        <v>0</v>
      </c>
      <c r="G109" s="10">
        <f t="shared" si="10"/>
        <v>2780.08</v>
      </c>
      <c r="H109" s="10">
        <f t="shared" si="11"/>
        <v>222.41</v>
      </c>
      <c r="I109" s="10">
        <f t="shared" si="12"/>
        <v>3002.49</v>
      </c>
      <c r="J109" s="19">
        <f>Plan1!E52</f>
        <v>1.062456465</v>
      </c>
      <c r="K109" s="10">
        <f t="shared" si="13"/>
        <v>3190.01</v>
      </c>
      <c r="L109" s="10">
        <f t="shared" si="15"/>
        <v>89</v>
      </c>
      <c r="M109" s="10">
        <f t="shared" si="8"/>
        <v>2839.11</v>
      </c>
      <c r="N109" s="11">
        <f t="shared" si="9"/>
        <v>6029.12</v>
      </c>
    </row>
    <row r="110" spans="1:14" ht="10.5" customHeight="1">
      <c r="A110" s="142">
        <v>39234</v>
      </c>
      <c r="B110" s="259"/>
      <c r="C110" s="321">
        <f>'01'!F167</f>
        <v>2690.4</v>
      </c>
      <c r="D110" s="10">
        <f t="shared" si="14"/>
        <v>2690.4</v>
      </c>
      <c r="E110" s="10">
        <v>0</v>
      </c>
      <c r="F110" s="10">
        <v>0</v>
      </c>
      <c r="G110" s="10">
        <f t="shared" si="10"/>
        <v>2690.4</v>
      </c>
      <c r="H110" s="10">
        <f t="shared" si="11"/>
        <v>215.23</v>
      </c>
      <c r="I110" s="10">
        <f t="shared" si="12"/>
        <v>2905.63</v>
      </c>
      <c r="J110" s="19">
        <f>Plan1!E53</f>
        <v>1.061443848</v>
      </c>
      <c r="K110" s="10">
        <f t="shared" si="13"/>
        <v>3084.16</v>
      </c>
      <c r="L110" s="10">
        <f t="shared" si="15"/>
        <v>88</v>
      </c>
      <c r="M110" s="10">
        <f t="shared" si="8"/>
        <v>2714.06</v>
      </c>
      <c r="N110" s="11">
        <f t="shared" si="9"/>
        <v>5798.22</v>
      </c>
    </row>
    <row r="111" spans="1:14" ht="10.5" customHeight="1">
      <c r="A111" s="142">
        <v>39264</v>
      </c>
      <c r="B111" s="259"/>
      <c r="C111" s="321">
        <f>'01'!F168</f>
        <v>2780.08</v>
      </c>
      <c r="D111" s="10">
        <f t="shared" si="14"/>
        <v>2780.08</v>
      </c>
      <c r="E111" s="10">
        <v>0</v>
      </c>
      <c r="F111" s="10">
        <v>0</v>
      </c>
      <c r="G111" s="10">
        <f t="shared" si="10"/>
        <v>2780.08</v>
      </c>
      <c r="H111" s="10">
        <f t="shared" si="11"/>
        <v>222.41</v>
      </c>
      <c r="I111" s="10">
        <f t="shared" si="12"/>
        <v>3002.49</v>
      </c>
      <c r="J111" s="19">
        <f>Plan1!E54</f>
        <v>1.059886874</v>
      </c>
      <c r="K111" s="10">
        <f t="shared" si="13"/>
        <v>3182.3</v>
      </c>
      <c r="L111" s="10">
        <f t="shared" si="15"/>
        <v>87</v>
      </c>
      <c r="M111" s="10">
        <f t="shared" si="8"/>
        <v>2768.6</v>
      </c>
      <c r="N111" s="11">
        <f t="shared" si="9"/>
        <v>5950.9</v>
      </c>
    </row>
    <row r="112" spans="1:14" ht="10.5" customHeight="1">
      <c r="A112" s="142">
        <v>39295</v>
      </c>
      <c r="B112" s="259"/>
      <c r="C112" s="321">
        <f>'01'!F169</f>
        <v>2780.08</v>
      </c>
      <c r="D112" s="10">
        <f t="shared" si="14"/>
        <v>2780.08</v>
      </c>
      <c r="E112" s="10">
        <v>0</v>
      </c>
      <c r="F112" s="10">
        <v>0</v>
      </c>
      <c r="G112" s="10">
        <f t="shared" si="10"/>
        <v>2780.08</v>
      </c>
      <c r="H112" s="10">
        <f t="shared" si="11"/>
        <v>222.41</v>
      </c>
      <c r="I112" s="10">
        <f t="shared" si="12"/>
        <v>3002.49</v>
      </c>
      <c r="J112" s="19">
        <f>Plan1!E55</f>
        <v>1.058335355</v>
      </c>
      <c r="K112" s="10">
        <f t="shared" si="13"/>
        <v>3177.64</v>
      </c>
      <c r="L112" s="10">
        <f t="shared" si="15"/>
        <v>86</v>
      </c>
      <c r="M112" s="10">
        <f t="shared" si="8"/>
        <v>2732.77</v>
      </c>
      <c r="N112" s="11">
        <f t="shared" si="9"/>
        <v>5910.41</v>
      </c>
    </row>
    <row r="113" spans="1:14" ht="10.5" customHeight="1">
      <c r="A113" s="142">
        <v>39326</v>
      </c>
      <c r="B113" s="259"/>
      <c r="C113" s="321">
        <f>'01'!F170</f>
        <v>2690.4</v>
      </c>
      <c r="D113" s="10">
        <f t="shared" si="14"/>
        <v>2690.4</v>
      </c>
      <c r="E113" s="10">
        <v>0</v>
      </c>
      <c r="F113" s="10">
        <v>0</v>
      </c>
      <c r="G113" s="10">
        <f t="shared" si="10"/>
        <v>2690.4</v>
      </c>
      <c r="H113" s="10">
        <f t="shared" si="11"/>
        <v>215.23</v>
      </c>
      <c r="I113" s="10">
        <f t="shared" si="12"/>
        <v>2905.63</v>
      </c>
      <c r="J113" s="19">
        <f>Plan1!E56</f>
        <v>1.057962952</v>
      </c>
      <c r="K113" s="10">
        <f t="shared" si="13"/>
        <v>3074.05</v>
      </c>
      <c r="L113" s="10">
        <f t="shared" si="15"/>
        <v>85</v>
      </c>
      <c r="M113" s="10">
        <f t="shared" si="8"/>
        <v>2612.94</v>
      </c>
      <c r="N113" s="11">
        <f t="shared" si="9"/>
        <v>5686.99</v>
      </c>
    </row>
    <row r="114" spans="1:14" ht="10.5" customHeight="1">
      <c r="A114" s="142">
        <v>39356</v>
      </c>
      <c r="B114" s="259"/>
      <c r="C114" s="321">
        <f>'01'!F171</f>
        <v>2780.08</v>
      </c>
      <c r="D114" s="10">
        <f t="shared" si="14"/>
        <v>2780.08</v>
      </c>
      <c r="E114" s="10">
        <v>0</v>
      </c>
      <c r="F114" s="10">
        <v>0</v>
      </c>
      <c r="G114" s="10">
        <f t="shared" si="10"/>
        <v>2780.08</v>
      </c>
      <c r="H114" s="10">
        <f t="shared" si="11"/>
        <v>222.41</v>
      </c>
      <c r="I114" s="10">
        <f t="shared" si="12"/>
        <v>3002.49</v>
      </c>
      <c r="J114" s="19">
        <f>Plan1!E57</f>
        <v>1.056756136</v>
      </c>
      <c r="K114" s="10">
        <f t="shared" si="13"/>
        <v>3172.9</v>
      </c>
      <c r="L114" s="10">
        <f t="shared" si="15"/>
        <v>84</v>
      </c>
      <c r="M114" s="10">
        <f t="shared" si="8"/>
        <v>2665.24</v>
      </c>
      <c r="N114" s="11">
        <f t="shared" si="9"/>
        <v>5838.14</v>
      </c>
    </row>
    <row r="115" spans="1:14" ht="10.5" customHeight="1">
      <c r="A115" s="142">
        <v>39387</v>
      </c>
      <c r="B115" s="259"/>
      <c r="C115" s="321">
        <f>'01'!F172</f>
        <v>2690.4</v>
      </c>
      <c r="D115" s="10">
        <f t="shared" si="14"/>
        <v>2690.4</v>
      </c>
      <c r="E115" s="10">
        <v>0</v>
      </c>
      <c r="F115" s="10">
        <v>0</v>
      </c>
      <c r="G115" s="10">
        <f t="shared" si="10"/>
        <v>2690.4</v>
      </c>
      <c r="H115" s="10">
        <f t="shared" si="11"/>
        <v>215.23</v>
      </c>
      <c r="I115" s="10">
        <f t="shared" si="12"/>
        <v>2905.63</v>
      </c>
      <c r="J115" s="19">
        <f>Plan1!E58</f>
        <v>1.056133018</v>
      </c>
      <c r="K115" s="10">
        <f t="shared" si="13"/>
        <v>3068.73</v>
      </c>
      <c r="L115" s="10">
        <f t="shared" si="15"/>
        <v>83</v>
      </c>
      <c r="M115" s="10">
        <f t="shared" si="8"/>
        <v>2547.05</v>
      </c>
      <c r="N115" s="11">
        <f t="shared" si="9"/>
        <v>5615.78</v>
      </c>
    </row>
    <row r="116" spans="1:14" ht="10.5" customHeight="1">
      <c r="A116" s="142">
        <v>39417</v>
      </c>
      <c r="B116" s="259"/>
      <c r="C116" s="321">
        <f>'01'!F173</f>
        <v>2780.08</v>
      </c>
      <c r="D116" s="10">
        <f t="shared" si="14"/>
        <v>2780.08</v>
      </c>
      <c r="E116" s="10">
        <f>D115</f>
        <v>2690.4</v>
      </c>
      <c r="F116" s="10">
        <v>0</v>
      </c>
      <c r="G116" s="10">
        <f t="shared" si="10"/>
        <v>5470.48</v>
      </c>
      <c r="H116" s="10">
        <f t="shared" si="11"/>
        <v>437.64</v>
      </c>
      <c r="I116" s="10">
        <f t="shared" si="12"/>
        <v>5908.12</v>
      </c>
      <c r="J116" s="19">
        <f>Plan1!F47</f>
        <v>1.055457525</v>
      </c>
      <c r="K116" s="10">
        <f t="shared" si="13"/>
        <v>6235.77</v>
      </c>
      <c r="L116" s="10">
        <f t="shared" si="15"/>
        <v>82</v>
      </c>
      <c r="M116" s="10">
        <f t="shared" si="8"/>
        <v>5113.33</v>
      </c>
      <c r="N116" s="11">
        <f t="shared" si="9"/>
        <v>11349.1</v>
      </c>
    </row>
    <row r="117" spans="1:14" ht="10.5" customHeight="1">
      <c r="A117" s="142">
        <v>39448</v>
      </c>
      <c r="B117" s="259"/>
      <c r="C117" s="321">
        <f>'01'!F174</f>
        <v>2988.4</v>
      </c>
      <c r="D117" s="10">
        <f t="shared" si="14"/>
        <v>2988.4</v>
      </c>
      <c r="E117" s="10">
        <v>0</v>
      </c>
      <c r="F117" s="10">
        <v>0</v>
      </c>
      <c r="G117" s="10">
        <f t="shared" si="10"/>
        <v>2988.4</v>
      </c>
      <c r="H117" s="10">
        <f t="shared" si="11"/>
        <v>239.07</v>
      </c>
      <c r="I117" s="10">
        <f t="shared" si="12"/>
        <v>3227.47</v>
      </c>
      <c r="J117" s="19">
        <f>Plan1!F48</f>
        <v>1.054392588</v>
      </c>
      <c r="K117" s="10">
        <f t="shared" si="13"/>
        <v>3403.02</v>
      </c>
      <c r="L117" s="10">
        <f t="shared" si="15"/>
        <v>81</v>
      </c>
      <c r="M117" s="10">
        <f t="shared" si="8"/>
        <v>2756.45</v>
      </c>
      <c r="N117" s="11">
        <f t="shared" si="9"/>
        <v>6159.47</v>
      </c>
    </row>
    <row r="118" spans="1:14" ht="10.5" customHeight="1">
      <c r="A118" s="142">
        <v>39479</v>
      </c>
      <c r="B118" s="259"/>
      <c r="C118" s="321">
        <f>'01'!F175</f>
        <v>2795.6</v>
      </c>
      <c r="D118" s="10">
        <f t="shared" si="14"/>
        <v>2795.6</v>
      </c>
      <c r="E118" s="10">
        <v>0</v>
      </c>
      <c r="F118" s="10">
        <v>0</v>
      </c>
      <c r="G118" s="10">
        <f t="shared" si="10"/>
        <v>2795.6</v>
      </c>
      <c r="H118" s="10">
        <f t="shared" si="11"/>
        <v>223.65</v>
      </c>
      <c r="I118" s="10">
        <f t="shared" si="12"/>
        <v>3019.25</v>
      </c>
      <c r="J118" s="19">
        <f>Plan1!F49</f>
        <v>1.054136433</v>
      </c>
      <c r="K118" s="10">
        <f t="shared" si="13"/>
        <v>3182.7</v>
      </c>
      <c r="L118" s="10">
        <f t="shared" si="15"/>
        <v>80</v>
      </c>
      <c r="M118" s="10">
        <f t="shared" si="8"/>
        <v>2546.16</v>
      </c>
      <c r="N118" s="11">
        <f t="shared" si="9"/>
        <v>5728.86</v>
      </c>
    </row>
    <row r="119" spans="1:14" ht="10.5" customHeight="1">
      <c r="A119" s="142">
        <v>39508</v>
      </c>
      <c r="B119" s="259"/>
      <c r="C119" s="321">
        <f>'01'!F176</f>
        <v>2988.4</v>
      </c>
      <c r="D119" s="10">
        <f t="shared" si="14"/>
        <v>2988.4</v>
      </c>
      <c r="E119" s="10">
        <v>0</v>
      </c>
      <c r="F119" s="10">
        <v>0</v>
      </c>
      <c r="G119" s="10">
        <f t="shared" si="10"/>
        <v>2988.4</v>
      </c>
      <c r="H119" s="10">
        <f t="shared" si="11"/>
        <v>239.07</v>
      </c>
      <c r="I119" s="10">
        <f t="shared" si="12"/>
        <v>3227.47</v>
      </c>
      <c r="J119" s="19">
        <f>Plan1!F50</f>
        <v>1.053705468</v>
      </c>
      <c r="K119" s="10">
        <f t="shared" si="13"/>
        <v>3400.8</v>
      </c>
      <c r="L119" s="10">
        <f t="shared" si="15"/>
        <v>79</v>
      </c>
      <c r="M119" s="10">
        <f t="shared" si="8"/>
        <v>2686.63</v>
      </c>
      <c r="N119" s="11">
        <f t="shared" si="9"/>
        <v>6087.43</v>
      </c>
    </row>
    <row r="120" spans="1:14" ht="10.5" customHeight="1">
      <c r="A120" s="142">
        <v>39539</v>
      </c>
      <c r="B120" s="259"/>
      <c r="C120" s="321">
        <f>'01'!F177</f>
        <v>2892</v>
      </c>
      <c r="D120" s="10">
        <v>0</v>
      </c>
      <c r="E120" s="10">
        <v>0</v>
      </c>
      <c r="F120" s="10">
        <f>2892*1.333333</f>
        <v>3856</v>
      </c>
      <c r="G120" s="10">
        <f t="shared" si="10"/>
        <v>3856</v>
      </c>
      <c r="H120" s="10">
        <f t="shared" si="11"/>
        <v>308.48</v>
      </c>
      <c r="I120" s="10">
        <f t="shared" si="12"/>
        <v>4164.48</v>
      </c>
      <c r="J120" s="19">
        <f>Plan1!F51</f>
        <v>1.052700139</v>
      </c>
      <c r="K120" s="10">
        <f t="shared" si="13"/>
        <v>4383.95</v>
      </c>
      <c r="L120" s="10">
        <f t="shared" si="15"/>
        <v>78</v>
      </c>
      <c r="M120" s="10">
        <f t="shared" si="8"/>
        <v>3419.48</v>
      </c>
      <c r="N120" s="11">
        <f t="shared" si="9"/>
        <v>7803.43</v>
      </c>
    </row>
    <row r="121" spans="1:14" ht="10.5" customHeight="1">
      <c r="A121" s="142">
        <v>39569</v>
      </c>
      <c r="B121" s="259"/>
      <c r="C121" s="321">
        <f>'01'!F178</f>
        <v>2988.4</v>
      </c>
      <c r="D121" s="10">
        <f t="shared" si="14"/>
        <v>2988.4</v>
      </c>
      <c r="E121" s="10">
        <v>0</v>
      </c>
      <c r="F121" s="10">
        <v>0</v>
      </c>
      <c r="G121" s="10">
        <f t="shared" si="10"/>
        <v>2988.4</v>
      </c>
      <c r="H121" s="10">
        <f t="shared" si="11"/>
        <v>239.07</v>
      </c>
      <c r="I121" s="10">
        <f t="shared" si="12"/>
        <v>3227.47</v>
      </c>
      <c r="J121" s="19">
        <f>Plan1!F52</f>
        <v>1.051925921</v>
      </c>
      <c r="K121" s="10">
        <f t="shared" si="13"/>
        <v>3395.06</v>
      </c>
      <c r="L121" s="10">
        <f t="shared" si="15"/>
        <v>77</v>
      </c>
      <c r="M121" s="10">
        <f t="shared" si="8"/>
        <v>2614.2</v>
      </c>
      <c r="N121" s="11">
        <f t="shared" si="9"/>
        <v>6009.26</v>
      </c>
    </row>
    <row r="122" spans="1:14" ht="10.5" customHeight="1">
      <c r="A122" s="142">
        <v>39600</v>
      </c>
      <c r="B122" s="259"/>
      <c r="C122" s="321">
        <f>'01'!F179</f>
        <v>2892</v>
      </c>
      <c r="D122" s="10">
        <f t="shared" si="14"/>
        <v>2892</v>
      </c>
      <c r="E122" s="10">
        <v>0</v>
      </c>
      <c r="F122" s="10">
        <v>0</v>
      </c>
      <c r="G122" s="10">
        <f t="shared" si="10"/>
        <v>2892</v>
      </c>
      <c r="H122" s="10">
        <f t="shared" si="11"/>
        <v>231.36</v>
      </c>
      <c r="I122" s="10">
        <f t="shared" si="12"/>
        <v>3123.36</v>
      </c>
      <c r="J122" s="19">
        <f>Plan1!F53</f>
        <v>1.050721794</v>
      </c>
      <c r="K122" s="10">
        <f t="shared" si="13"/>
        <v>3281.78</v>
      </c>
      <c r="L122" s="10">
        <f t="shared" si="15"/>
        <v>76</v>
      </c>
      <c r="M122" s="10">
        <f t="shared" si="8"/>
        <v>2494.15</v>
      </c>
      <c r="N122" s="11">
        <f t="shared" si="9"/>
        <v>5775.93</v>
      </c>
    </row>
    <row r="123" spans="1:14" ht="10.5" customHeight="1">
      <c r="A123" s="142">
        <v>39630</v>
      </c>
      <c r="B123" s="259"/>
      <c r="C123" s="321">
        <f>'01'!F180</f>
        <v>2988.4</v>
      </c>
      <c r="D123" s="10">
        <f t="shared" si="14"/>
        <v>2988.4</v>
      </c>
      <c r="E123" s="10">
        <v>0</v>
      </c>
      <c r="F123" s="10">
        <v>0</v>
      </c>
      <c r="G123" s="10">
        <f t="shared" si="10"/>
        <v>2988.4</v>
      </c>
      <c r="H123" s="10">
        <f t="shared" si="11"/>
        <v>239.07</v>
      </c>
      <c r="I123" s="10">
        <f t="shared" si="12"/>
        <v>3227.47</v>
      </c>
      <c r="J123" s="19">
        <f>Plan1!F54</f>
        <v>1.048714555</v>
      </c>
      <c r="K123" s="10">
        <f t="shared" si="13"/>
        <v>3384.69</v>
      </c>
      <c r="L123" s="10">
        <f t="shared" si="15"/>
        <v>75</v>
      </c>
      <c r="M123" s="10">
        <f t="shared" si="8"/>
        <v>2538.52</v>
      </c>
      <c r="N123" s="11">
        <f t="shared" si="9"/>
        <v>5923.21</v>
      </c>
    </row>
    <row r="124" spans="1:14" ht="10.5" customHeight="1">
      <c r="A124" s="142">
        <v>39661</v>
      </c>
      <c r="B124" s="259"/>
      <c r="C124" s="321">
        <f>'01'!F181</f>
        <v>2988.4</v>
      </c>
      <c r="D124" s="10">
        <f t="shared" si="14"/>
        <v>2988.4</v>
      </c>
      <c r="E124" s="10">
        <v>0</v>
      </c>
      <c r="F124" s="10">
        <v>0</v>
      </c>
      <c r="G124" s="10">
        <f t="shared" si="10"/>
        <v>2988.4</v>
      </c>
      <c r="H124" s="10">
        <f t="shared" si="11"/>
        <v>239.07</v>
      </c>
      <c r="I124" s="10">
        <f t="shared" si="12"/>
        <v>3227.47</v>
      </c>
      <c r="J124" s="19">
        <f>Plan1!F55</f>
        <v>1.047066472</v>
      </c>
      <c r="K124" s="10">
        <f t="shared" si="13"/>
        <v>3379.38</v>
      </c>
      <c r="L124" s="10">
        <f t="shared" si="15"/>
        <v>74</v>
      </c>
      <c r="M124" s="10">
        <f t="shared" si="8"/>
        <v>2500.74</v>
      </c>
      <c r="N124" s="11">
        <f t="shared" si="9"/>
        <v>5880.12</v>
      </c>
    </row>
    <row r="125" spans="1:14" ht="10.5" customHeight="1">
      <c r="A125" s="142">
        <v>39692</v>
      </c>
      <c r="B125" s="259"/>
      <c r="C125" s="321">
        <f>'01'!F182</f>
        <v>2892</v>
      </c>
      <c r="D125" s="10">
        <f t="shared" si="14"/>
        <v>2892</v>
      </c>
      <c r="E125" s="10">
        <v>0</v>
      </c>
      <c r="F125" s="10">
        <v>0</v>
      </c>
      <c r="G125" s="10">
        <f t="shared" si="10"/>
        <v>2892</v>
      </c>
      <c r="H125" s="10">
        <f t="shared" si="11"/>
        <v>231.36</v>
      </c>
      <c r="I125" s="10">
        <f t="shared" si="12"/>
        <v>3123.36</v>
      </c>
      <c r="J125" s="19">
        <f>Plan1!F56</f>
        <v>1.045007807</v>
      </c>
      <c r="K125" s="10">
        <f t="shared" si="13"/>
        <v>3263.94</v>
      </c>
      <c r="L125" s="10">
        <f t="shared" si="15"/>
        <v>73</v>
      </c>
      <c r="M125" s="10">
        <f t="shared" si="8"/>
        <v>2382.68</v>
      </c>
      <c r="N125" s="11">
        <f t="shared" si="9"/>
        <v>5646.62</v>
      </c>
    </row>
    <row r="126" spans="1:14" ht="10.5" customHeight="1">
      <c r="A126" s="142">
        <v>39722</v>
      </c>
      <c r="B126" s="259"/>
      <c r="C126" s="321">
        <f>'01'!F183</f>
        <v>2988.4</v>
      </c>
      <c r="D126" s="10">
        <f t="shared" si="14"/>
        <v>2988.4</v>
      </c>
      <c r="E126" s="10">
        <v>0</v>
      </c>
      <c r="F126" s="10">
        <v>0</v>
      </c>
      <c r="G126" s="10">
        <f t="shared" si="10"/>
        <v>2988.4</v>
      </c>
      <c r="H126" s="10">
        <f t="shared" si="11"/>
        <v>239.07</v>
      </c>
      <c r="I126" s="10">
        <f t="shared" si="12"/>
        <v>3227.47</v>
      </c>
      <c r="J126" s="19">
        <f>Plan1!F57</f>
        <v>1.042395563</v>
      </c>
      <c r="K126" s="10">
        <f t="shared" si="13"/>
        <v>3364.3</v>
      </c>
      <c r="L126" s="10">
        <f t="shared" si="15"/>
        <v>72</v>
      </c>
      <c r="M126" s="10">
        <f t="shared" si="8"/>
        <v>2422.3</v>
      </c>
      <c r="N126" s="11">
        <f t="shared" si="9"/>
        <v>5786.6</v>
      </c>
    </row>
    <row r="127" spans="1:14" ht="10.5" customHeight="1">
      <c r="A127" s="142">
        <v>39753</v>
      </c>
      <c r="B127" s="259"/>
      <c r="C127" s="321">
        <f>'01'!F184</f>
        <v>2892</v>
      </c>
      <c r="D127" s="10">
        <f t="shared" si="14"/>
        <v>2892</v>
      </c>
      <c r="E127" s="10">
        <v>0</v>
      </c>
      <c r="F127" s="10">
        <v>0</v>
      </c>
      <c r="G127" s="10">
        <f t="shared" si="10"/>
        <v>2892</v>
      </c>
      <c r="H127" s="10">
        <f t="shared" si="11"/>
        <v>231.36</v>
      </c>
      <c r="I127" s="10">
        <f t="shared" si="12"/>
        <v>3123.36</v>
      </c>
      <c r="J127" s="19">
        <f>Plan1!F58</f>
        <v>1.040711692</v>
      </c>
      <c r="K127" s="10">
        <f t="shared" si="13"/>
        <v>3250.52</v>
      </c>
      <c r="L127" s="10">
        <f t="shared" si="15"/>
        <v>71</v>
      </c>
      <c r="M127" s="10">
        <f t="shared" si="8"/>
        <v>2307.87</v>
      </c>
      <c r="N127" s="11">
        <f t="shared" si="9"/>
        <v>5558.39</v>
      </c>
    </row>
    <row r="128" spans="1:14" ht="10.5" customHeight="1">
      <c r="A128" s="142">
        <v>39783</v>
      </c>
      <c r="B128" s="259"/>
      <c r="C128" s="321">
        <f>'01'!F185</f>
        <v>2988.4</v>
      </c>
      <c r="D128" s="10">
        <f t="shared" si="14"/>
        <v>2988.4</v>
      </c>
      <c r="E128" s="10">
        <f>D127</f>
        <v>2892</v>
      </c>
      <c r="F128" s="10">
        <v>0</v>
      </c>
      <c r="G128" s="10">
        <f t="shared" si="10"/>
        <v>5880.4</v>
      </c>
      <c r="H128" s="10">
        <f t="shared" si="11"/>
        <v>470.43</v>
      </c>
      <c r="I128" s="10">
        <f t="shared" si="12"/>
        <v>6350.83</v>
      </c>
      <c r="J128" s="19">
        <f>Plan1!G47</f>
        <v>1.038479998</v>
      </c>
      <c r="K128" s="10">
        <f t="shared" si="13"/>
        <v>6595.21</v>
      </c>
      <c r="L128" s="10">
        <f t="shared" si="15"/>
        <v>70</v>
      </c>
      <c r="M128" s="10">
        <f t="shared" si="8"/>
        <v>4616.65</v>
      </c>
      <c r="N128" s="11">
        <f t="shared" si="9"/>
        <v>11211.86</v>
      </c>
    </row>
    <row r="129" spans="1:14" ht="10.5" customHeight="1">
      <c r="A129" s="142">
        <v>39814</v>
      </c>
      <c r="B129" s="259"/>
      <c r="C129" s="321">
        <f>'01'!F186</f>
        <v>3320.72</v>
      </c>
      <c r="D129" s="10">
        <f t="shared" si="14"/>
        <v>3320.72</v>
      </c>
      <c r="E129" s="10">
        <v>0</v>
      </c>
      <c r="F129" s="10">
        <v>0</v>
      </c>
      <c r="G129" s="10">
        <f t="shared" si="10"/>
        <v>3320.72</v>
      </c>
      <c r="H129" s="10">
        <f t="shared" si="11"/>
        <v>265.66</v>
      </c>
      <c r="I129" s="10">
        <f t="shared" si="12"/>
        <v>3586.38</v>
      </c>
      <c r="J129" s="19">
        <f>Plan1!G48</f>
        <v>1.036572705</v>
      </c>
      <c r="K129" s="10">
        <f t="shared" si="13"/>
        <v>3717.54</v>
      </c>
      <c r="L129" s="10">
        <f t="shared" si="15"/>
        <v>69</v>
      </c>
      <c r="M129" s="10">
        <f t="shared" si="8"/>
        <v>2565.1</v>
      </c>
      <c r="N129" s="11">
        <f t="shared" si="9"/>
        <v>6282.64</v>
      </c>
    </row>
    <row r="130" spans="1:14" ht="10.5" customHeight="1">
      <c r="A130" s="142">
        <v>39845</v>
      </c>
      <c r="B130" s="259"/>
      <c r="C130" s="321">
        <f>'01'!F187</f>
        <v>2999.36</v>
      </c>
      <c r="D130" s="10">
        <f t="shared" si="14"/>
        <v>2999.36</v>
      </c>
      <c r="E130" s="10">
        <v>0</v>
      </c>
      <c r="F130" s="10">
        <v>0</v>
      </c>
      <c r="G130" s="10">
        <f t="shared" si="10"/>
        <v>2999.36</v>
      </c>
      <c r="H130" s="10">
        <f t="shared" si="11"/>
        <v>239.95</v>
      </c>
      <c r="I130" s="10">
        <f t="shared" si="12"/>
        <v>3239.31</v>
      </c>
      <c r="J130" s="19">
        <f>Plan1!G49</f>
        <v>1.036105421</v>
      </c>
      <c r="K130" s="10">
        <f t="shared" si="13"/>
        <v>3356.27</v>
      </c>
      <c r="L130" s="10">
        <f t="shared" si="15"/>
        <v>68</v>
      </c>
      <c r="M130" s="10">
        <f t="shared" si="8"/>
        <v>2282.26</v>
      </c>
      <c r="N130" s="11">
        <f t="shared" si="9"/>
        <v>5638.53</v>
      </c>
    </row>
    <row r="131" spans="1:14" ht="10.5" customHeight="1">
      <c r="A131" s="142">
        <v>39873</v>
      </c>
      <c r="B131" s="259"/>
      <c r="C131" s="321">
        <f>'01'!F188</f>
        <v>3320.72</v>
      </c>
      <c r="D131" s="10">
        <f t="shared" si="14"/>
        <v>3320.72</v>
      </c>
      <c r="E131" s="10">
        <v>0</v>
      </c>
      <c r="F131" s="10">
        <v>0</v>
      </c>
      <c r="G131" s="10">
        <f t="shared" si="10"/>
        <v>3320.72</v>
      </c>
      <c r="H131" s="10">
        <f t="shared" si="11"/>
        <v>265.66</v>
      </c>
      <c r="I131" s="10">
        <f t="shared" si="12"/>
        <v>3586.38</v>
      </c>
      <c r="J131" s="19">
        <f>Plan1!G50</f>
        <v>1.034617641</v>
      </c>
      <c r="K131" s="10">
        <f t="shared" si="13"/>
        <v>3710.53</v>
      </c>
      <c r="L131" s="10">
        <f t="shared" si="15"/>
        <v>67</v>
      </c>
      <c r="M131" s="10">
        <f t="shared" si="8"/>
        <v>2486.06</v>
      </c>
      <c r="N131" s="11">
        <f t="shared" si="9"/>
        <v>6196.59</v>
      </c>
    </row>
    <row r="132" spans="1:14" ht="10.5" customHeight="1">
      <c r="A132" s="142">
        <v>39904</v>
      </c>
      <c r="B132" s="259"/>
      <c r="C132" s="321">
        <f>'01'!F189</f>
        <v>3213.6</v>
      </c>
      <c r="D132" s="10">
        <v>0</v>
      </c>
      <c r="E132" s="10">
        <v>0</v>
      </c>
      <c r="F132" s="10">
        <f>3213.6*1.333333</f>
        <v>4284.8</v>
      </c>
      <c r="G132" s="10">
        <f t="shared" si="10"/>
        <v>4284.8</v>
      </c>
      <c r="H132" s="10">
        <f t="shared" si="11"/>
        <v>342.78</v>
      </c>
      <c r="I132" s="10">
        <f t="shared" si="12"/>
        <v>4627.58</v>
      </c>
      <c r="J132" s="19">
        <f>Plan1!G51</f>
        <v>1.034148138</v>
      </c>
      <c r="K132" s="10">
        <f t="shared" si="13"/>
        <v>4785.6</v>
      </c>
      <c r="L132" s="10">
        <f t="shared" si="15"/>
        <v>66</v>
      </c>
      <c r="M132" s="10">
        <f t="shared" si="8"/>
        <v>3158.5</v>
      </c>
      <c r="N132" s="11">
        <f t="shared" si="9"/>
        <v>7944.1</v>
      </c>
    </row>
    <row r="133" spans="1:14" ht="10.5" customHeight="1">
      <c r="A133" s="142">
        <v>39934</v>
      </c>
      <c r="B133" s="259"/>
      <c r="C133" s="321">
        <f>'01'!F190</f>
        <v>3320.72</v>
      </c>
      <c r="D133" s="10">
        <f t="shared" si="14"/>
        <v>3320.72</v>
      </c>
      <c r="E133" s="10">
        <v>0</v>
      </c>
      <c r="F133" s="10">
        <v>0</v>
      </c>
      <c r="G133" s="10">
        <f t="shared" si="10"/>
        <v>3320.72</v>
      </c>
      <c r="H133" s="10">
        <f t="shared" si="11"/>
        <v>265.66</v>
      </c>
      <c r="I133" s="10">
        <f t="shared" si="12"/>
        <v>3586.38</v>
      </c>
      <c r="J133" s="19">
        <f>Plan1!G52</f>
        <v>1.033684013</v>
      </c>
      <c r="K133" s="10">
        <f t="shared" si="13"/>
        <v>3707.18</v>
      </c>
      <c r="L133" s="10">
        <f t="shared" si="15"/>
        <v>65</v>
      </c>
      <c r="M133" s="10">
        <f t="shared" si="8"/>
        <v>2409.67</v>
      </c>
      <c r="N133" s="11">
        <f t="shared" si="9"/>
        <v>6116.85</v>
      </c>
    </row>
    <row r="134" spans="1:14" ht="10.5" customHeight="1">
      <c r="A134" s="142">
        <v>39965</v>
      </c>
      <c r="B134" s="259"/>
      <c r="C134" s="321">
        <f>'01'!F191</f>
        <v>3213.6</v>
      </c>
      <c r="D134" s="10">
        <f t="shared" si="14"/>
        <v>3213.6</v>
      </c>
      <c r="E134" s="10">
        <v>0</v>
      </c>
      <c r="F134" s="10">
        <v>0</v>
      </c>
      <c r="G134" s="10">
        <f t="shared" si="10"/>
        <v>3213.6</v>
      </c>
      <c r="H134" s="10">
        <f t="shared" si="11"/>
        <v>257.09</v>
      </c>
      <c r="I134" s="10">
        <f t="shared" si="12"/>
        <v>3470.69</v>
      </c>
      <c r="J134" s="19">
        <f>Plan1!G53</f>
        <v>1.033006361</v>
      </c>
      <c r="K134" s="10">
        <f t="shared" si="13"/>
        <v>3585.24</v>
      </c>
      <c r="L134" s="10">
        <f t="shared" si="15"/>
        <v>64</v>
      </c>
      <c r="M134" s="10">
        <f t="shared" si="8"/>
        <v>2294.55</v>
      </c>
      <c r="N134" s="11">
        <f t="shared" si="9"/>
        <v>5879.79</v>
      </c>
    </row>
    <row r="135" spans="1:14" ht="10.5" customHeight="1">
      <c r="A135" s="142">
        <v>39995</v>
      </c>
      <c r="B135" s="259"/>
      <c r="C135" s="321">
        <f>'01'!F192</f>
        <v>3320.72</v>
      </c>
      <c r="D135" s="10">
        <f t="shared" si="14"/>
        <v>3320.72</v>
      </c>
      <c r="E135" s="10">
        <v>0</v>
      </c>
      <c r="F135" s="10">
        <v>0</v>
      </c>
      <c r="G135" s="10">
        <f t="shared" si="10"/>
        <v>3320.72</v>
      </c>
      <c r="H135" s="10">
        <f t="shared" si="11"/>
        <v>265.66</v>
      </c>
      <c r="I135" s="10">
        <f t="shared" si="12"/>
        <v>3586.38</v>
      </c>
      <c r="J135" s="19">
        <f>Plan1!G54</f>
        <v>1.031921811</v>
      </c>
      <c r="K135" s="10">
        <f t="shared" si="13"/>
        <v>3700.86</v>
      </c>
      <c r="L135" s="10">
        <f t="shared" si="15"/>
        <v>63</v>
      </c>
      <c r="M135" s="10">
        <f t="shared" si="8"/>
        <v>2331.54</v>
      </c>
      <c r="N135" s="11">
        <f t="shared" si="9"/>
        <v>6032.4</v>
      </c>
    </row>
    <row r="136" spans="1:14" ht="10.5" customHeight="1">
      <c r="A136" s="142">
        <v>40026</v>
      </c>
      <c r="B136" s="259"/>
      <c r="C136" s="321">
        <f>'01'!F193</f>
        <v>3320.72</v>
      </c>
      <c r="D136" s="10">
        <f t="shared" si="14"/>
        <v>3320.72</v>
      </c>
      <c r="E136" s="10">
        <v>0</v>
      </c>
      <c r="F136" s="10">
        <v>0</v>
      </c>
      <c r="G136" s="10">
        <f t="shared" si="10"/>
        <v>3320.72</v>
      </c>
      <c r="H136" s="10">
        <f t="shared" si="11"/>
        <v>265.66</v>
      </c>
      <c r="I136" s="10">
        <f t="shared" si="12"/>
        <v>3586.38</v>
      </c>
      <c r="J136" s="19">
        <f>Plan1!G55</f>
        <v>1.031718563</v>
      </c>
      <c r="K136" s="10">
        <f t="shared" si="13"/>
        <v>3700.13</v>
      </c>
      <c r="L136" s="10">
        <f t="shared" si="15"/>
        <v>62</v>
      </c>
      <c r="M136" s="10">
        <f t="shared" si="8"/>
        <v>2294.08</v>
      </c>
      <c r="N136" s="11">
        <f t="shared" si="9"/>
        <v>5994.21</v>
      </c>
    </row>
    <row r="137" spans="1:14" ht="10.5" customHeight="1">
      <c r="A137" s="142">
        <v>40057</v>
      </c>
      <c r="B137" s="259"/>
      <c r="C137" s="321">
        <f>'01'!F194</f>
        <v>3213.6</v>
      </c>
      <c r="D137" s="10">
        <f t="shared" si="14"/>
        <v>3213.6</v>
      </c>
      <c r="E137" s="10">
        <v>0</v>
      </c>
      <c r="F137" s="10">
        <v>0</v>
      </c>
      <c r="G137" s="10">
        <f t="shared" si="10"/>
        <v>3213.6</v>
      </c>
      <c r="H137" s="10">
        <f t="shared" si="11"/>
        <v>257.09</v>
      </c>
      <c r="I137" s="10">
        <f t="shared" si="12"/>
        <v>3470.69</v>
      </c>
      <c r="J137" s="19">
        <f>Plan1!G56</f>
        <v>1.031718563</v>
      </c>
      <c r="K137" s="10">
        <f t="shared" si="13"/>
        <v>3580.78</v>
      </c>
      <c r="L137" s="10">
        <f t="shared" si="15"/>
        <v>61</v>
      </c>
      <c r="M137" s="10">
        <f t="shared" si="8"/>
        <v>2184.28</v>
      </c>
      <c r="N137" s="11">
        <f t="shared" si="9"/>
        <v>5765.06</v>
      </c>
    </row>
    <row r="138" spans="1:14" ht="10.5" customHeight="1">
      <c r="A138" s="142">
        <v>40087</v>
      </c>
      <c r="B138" s="259"/>
      <c r="C138" s="321">
        <f>'01'!F195</f>
        <v>3320.72</v>
      </c>
      <c r="D138" s="10">
        <f t="shared" si="14"/>
        <v>3320.72</v>
      </c>
      <c r="E138" s="10">
        <v>0</v>
      </c>
      <c r="F138" s="10">
        <v>0</v>
      </c>
      <c r="G138" s="10">
        <f t="shared" si="10"/>
        <v>3320.72</v>
      </c>
      <c r="H138" s="10">
        <f t="shared" si="11"/>
        <v>265.66</v>
      </c>
      <c r="I138" s="10">
        <f t="shared" si="12"/>
        <v>3586.38</v>
      </c>
      <c r="J138" s="19">
        <f>Plan1!G57</f>
        <v>1.031718563</v>
      </c>
      <c r="K138" s="10">
        <f t="shared" si="13"/>
        <v>3700.13</v>
      </c>
      <c r="L138" s="10">
        <f t="shared" si="15"/>
        <v>60</v>
      </c>
      <c r="M138" s="10">
        <f t="shared" si="8"/>
        <v>2220.08</v>
      </c>
      <c r="N138" s="11">
        <f t="shared" si="9"/>
        <v>5920.21</v>
      </c>
    </row>
    <row r="139" spans="1:14" ht="10.5" customHeight="1">
      <c r="A139" s="142">
        <v>40118</v>
      </c>
      <c r="B139" s="259"/>
      <c r="C139" s="321">
        <f>'01'!F196</f>
        <v>3213.6</v>
      </c>
      <c r="D139" s="10">
        <f t="shared" si="14"/>
        <v>3213.6</v>
      </c>
      <c r="E139" s="10">
        <v>0</v>
      </c>
      <c r="F139" s="10">
        <v>0</v>
      </c>
      <c r="G139" s="10">
        <f t="shared" si="10"/>
        <v>3213.6</v>
      </c>
      <c r="H139" s="10">
        <f t="shared" si="11"/>
        <v>257.09</v>
      </c>
      <c r="I139" s="10">
        <f t="shared" si="12"/>
        <v>3470.69</v>
      </c>
      <c r="J139" s="19">
        <f>Plan1!G58</f>
        <v>1.031718563</v>
      </c>
      <c r="K139" s="10">
        <f t="shared" si="13"/>
        <v>3580.78</v>
      </c>
      <c r="L139" s="10">
        <f t="shared" si="15"/>
        <v>59</v>
      </c>
      <c r="M139" s="10">
        <f t="shared" si="8"/>
        <v>2112.66</v>
      </c>
      <c r="N139" s="11">
        <f t="shared" si="9"/>
        <v>5693.44</v>
      </c>
    </row>
    <row r="140" spans="1:14" ht="10.5" customHeight="1">
      <c r="A140" s="142">
        <v>40148</v>
      </c>
      <c r="B140" s="259"/>
      <c r="C140" s="321">
        <f>'01'!F197</f>
        <v>3320.72</v>
      </c>
      <c r="D140" s="10">
        <f t="shared" si="14"/>
        <v>3320.72</v>
      </c>
      <c r="E140" s="10">
        <f>D139</f>
        <v>3213.6</v>
      </c>
      <c r="F140" s="10">
        <v>0</v>
      </c>
      <c r="G140" s="10">
        <f t="shared" si="10"/>
        <v>6534.32</v>
      </c>
      <c r="H140" s="10">
        <f t="shared" si="11"/>
        <v>522.75</v>
      </c>
      <c r="I140" s="10">
        <f t="shared" si="12"/>
        <v>7057.07</v>
      </c>
      <c r="J140" s="19">
        <f>Plan1!H47</f>
        <v>1.03116895</v>
      </c>
      <c r="K140" s="10">
        <f t="shared" si="13"/>
        <v>7277.03</v>
      </c>
      <c r="L140" s="10">
        <f t="shared" si="15"/>
        <v>58</v>
      </c>
      <c r="M140" s="10">
        <f t="shared" si="8"/>
        <v>4220.68</v>
      </c>
      <c r="N140" s="11">
        <f t="shared" si="9"/>
        <v>11497.71</v>
      </c>
    </row>
    <row r="141" spans="1:14" ht="10.5" customHeight="1">
      <c r="A141" s="142">
        <v>40179</v>
      </c>
      <c r="B141" s="259"/>
      <c r="C141" s="321">
        <f>'01'!F198</f>
        <v>3536.48</v>
      </c>
      <c r="D141" s="10">
        <f t="shared" si="14"/>
        <v>3536.48</v>
      </c>
      <c r="E141" s="10">
        <v>0</v>
      </c>
      <c r="F141" s="10">
        <v>0</v>
      </c>
      <c r="G141" s="10">
        <f t="shared" si="10"/>
        <v>3536.48</v>
      </c>
      <c r="H141" s="10">
        <f t="shared" si="11"/>
        <v>282.92</v>
      </c>
      <c r="I141" s="10">
        <f t="shared" si="12"/>
        <v>3819.4</v>
      </c>
      <c r="J141" s="19">
        <f>Plan1!H48</f>
        <v>1.03116895</v>
      </c>
      <c r="K141" s="10">
        <f t="shared" si="13"/>
        <v>3938.45</v>
      </c>
      <c r="L141" s="10">
        <f t="shared" si="15"/>
        <v>57</v>
      </c>
      <c r="M141" s="10">
        <f t="shared" si="8"/>
        <v>2244.92</v>
      </c>
      <c r="N141" s="11">
        <f t="shared" si="9"/>
        <v>6183.37</v>
      </c>
    </row>
    <row r="142" spans="1:14" ht="10.5" customHeight="1">
      <c r="A142" s="142">
        <v>40210</v>
      </c>
      <c r="B142" s="259"/>
      <c r="C142" s="321">
        <f>'01'!F199</f>
        <v>3194.24</v>
      </c>
      <c r="D142" s="10">
        <f t="shared" si="14"/>
        <v>3194.24</v>
      </c>
      <c r="E142" s="10">
        <v>0</v>
      </c>
      <c r="F142" s="10">
        <v>0</v>
      </c>
      <c r="G142" s="10">
        <f t="shared" si="10"/>
        <v>3194.24</v>
      </c>
      <c r="H142" s="10">
        <f t="shared" si="11"/>
        <v>255.54</v>
      </c>
      <c r="I142" s="10">
        <f t="shared" si="12"/>
        <v>3449.78</v>
      </c>
      <c r="J142" s="19">
        <f>Plan1!H49</f>
        <v>1.03116895</v>
      </c>
      <c r="K142" s="10">
        <f t="shared" si="13"/>
        <v>3557.31</v>
      </c>
      <c r="L142" s="10">
        <f t="shared" si="15"/>
        <v>56</v>
      </c>
      <c r="M142" s="10">
        <f t="shared" si="8"/>
        <v>1992.09</v>
      </c>
      <c r="N142" s="11">
        <f t="shared" si="9"/>
        <v>5549.4</v>
      </c>
    </row>
    <row r="143" spans="1:14" ht="10.5" customHeight="1">
      <c r="A143" s="142">
        <v>40238</v>
      </c>
      <c r="B143" s="259"/>
      <c r="C143" s="321">
        <f>'01'!F200</f>
        <v>3536.48</v>
      </c>
      <c r="D143" s="10">
        <f t="shared" si="14"/>
        <v>3536.48</v>
      </c>
      <c r="E143" s="10">
        <v>0</v>
      </c>
      <c r="F143" s="10">
        <v>0</v>
      </c>
      <c r="G143" s="10">
        <f t="shared" si="10"/>
        <v>3536.48</v>
      </c>
      <c r="H143" s="10">
        <f t="shared" si="11"/>
        <v>282.92</v>
      </c>
      <c r="I143" s="10">
        <f t="shared" si="12"/>
        <v>3819.4</v>
      </c>
      <c r="J143" s="19">
        <f>Plan1!H50</f>
        <v>1.03035291</v>
      </c>
      <c r="K143" s="10">
        <f t="shared" si="13"/>
        <v>3935.33</v>
      </c>
      <c r="L143" s="10">
        <f t="shared" si="15"/>
        <v>55</v>
      </c>
      <c r="M143" s="10">
        <f t="shared" si="8"/>
        <v>2164.43</v>
      </c>
      <c r="N143" s="11">
        <f t="shared" si="9"/>
        <v>6099.76</v>
      </c>
    </row>
    <row r="144" spans="1:14" ht="10.5" customHeight="1">
      <c r="A144" s="142">
        <v>40269</v>
      </c>
      <c r="B144" s="259"/>
      <c r="C144" s="321">
        <f>'01'!F201</f>
        <v>3422.4</v>
      </c>
      <c r="D144" s="10">
        <v>0</v>
      </c>
      <c r="E144" s="10">
        <v>0</v>
      </c>
      <c r="F144" s="10">
        <f>3422.4*1.333333</f>
        <v>4563.2</v>
      </c>
      <c r="G144" s="10">
        <f t="shared" si="10"/>
        <v>4563.2</v>
      </c>
      <c r="H144" s="10">
        <f t="shared" si="11"/>
        <v>365.06</v>
      </c>
      <c r="I144" s="10">
        <f t="shared" si="12"/>
        <v>4928.26</v>
      </c>
      <c r="J144" s="19">
        <f>Plan1!H51</f>
        <v>1.03035291</v>
      </c>
      <c r="K144" s="10">
        <f t="shared" si="13"/>
        <v>5077.85</v>
      </c>
      <c r="L144" s="10">
        <f t="shared" si="15"/>
        <v>54</v>
      </c>
      <c r="M144" s="10">
        <f t="shared" si="8"/>
        <v>2742.04</v>
      </c>
      <c r="N144" s="11">
        <f t="shared" si="9"/>
        <v>7819.89</v>
      </c>
    </row>
    <row r="145" spans="1:14" ht="10.5" customHeight="1">
      <c r="A145" s="142">
        <v>40299</v>
      </c>
      <c r="B145" s="259"/>
      <c r="C145" s="321">
        <f>'01'!F202</f>
        <v>3536.48</v>
      </c>
      <c r="D145" s="10">
        <f t="shared" si="14"/>
        <v>3536.48</v>
      </c>
      <c r="E145" s="10">
        <v>0</v>
      </c>
      <c r="F145" s="10">
        <v>0</v>
      </c>
      <c r="G145" s="10">
        <f t="shared" si="10"/>
        <v>3536.48</v>
      </c>
      <c r="H145" s="10">
        <f t="shared" si="11"/>
        <v>282.92</v>
      </c>
      <c r="I145" s="10">
        <f t="shared" si="12"/>
        <v>3819.4</v>
      </c>
      <c r="J145" s="19">
        <f>Plan1!H52</f>
        <v>1.029827698</v>
      </c>
      <c r="K145" s="10">
        <f t="shared" si="13"/>
        <v>3933.32</v>
      </c>
      <c r="L145" s="10">
        <f t="shared" si="15"/>
        <v>53</v>
      </c>
      <c r="M145" s="10">
        <f t="shared" si="8"/>
        <v>2084.66</v>
      </c>
      <c r="N145" s="11">
        <f t="shared" si="9"/>
        <v>6017.98</v>
      </c>
    </row>
    <row r="146" spans="1:14" ht="10.5" customHeight="1">
      <c r="A146" s="142">
        <v>40330</v>
      </c>
      <c r="B146" s="259"/>
      <c r="C146" s="321">
        <f>'01'!F203</f>
        <v>3422.4</v>
      </c>
      <c r="D146" s="10">
        <f t="shared" si="14"/>
        <v>3422.4</v>
      </c>
      <c r="E146" s="10">
        <v>0</v>
      </c>
      <c r="F146" s="10">
        <v>0</v>
      </c>
      <c r="G146" s="10">
        <f t="shared" si="10"/>
        <v>3422.4</v>
      </c>
      <c r="H146" s="10">
        <f t="shared" si="11"/>
        <v>273.79</v>
      </c>
      <c r="I146" s="10">
        <f t="shared" si="12"/>
        <v>3696.19</v>
      </c>
      <c r="J146" s="19">
        <f>Plan1!H53</f>
        <v>1.029221487</v>
      </c>
      <c r="K146" s="10">
        <f t="shared" si="13"/>
        <v>3804.2</v>
      </c>
      <c r="L146" s="10">
        <f t="shared" si="15"/>
        <v>52</v>
      </c>
      <c r="M146" s="10">
        <f t="shared" si="8"/>
        <v>1978.18</v>
      </c>
      <c r="N146" s="11">
        <f t="shared" si="9"/>
        <v>5782.38</v>
      </c>
    </row>
    <row r="147" spans="1:14" ht="10.5" customHeight="1">
      <c r="A147" s="142">
        <v>40360</v>
      </c>
      <c r="B147" s="259"/>
      <c r="C147" s="321">
        <f>'01'!F204</f>
        <v>3536.48</v>
      </c>
      <c r="D147" s="10">
        <f t="shared" si="14"/>
        <v>3536.48</v>
      </c>
      <c r="E147" s="10">
        <v>0</v>
      </c>
      <c r="F147" s="10">
        <v>0</v>
      </c>
      <c r="G147" s="10">
        <f t="shared" si="10"/>
        <v>3536.48</v>
      </c>
      <c r="H147" s="10">
        <f t="shared" si="11"/>
        <v>282.92</v>
      </c>
      <c r="I147" s="10">
        <f t="shared" si="12"/>
        <v>3819.4</v>
      </c>
      <c r="J147" s="19">
        <f>Plan1!H54</f>
        <v>1.028038215</v>
      </c>
      <c r="K147" s="10">
        <f t="shared" si="13"/>
        <v>3926.49</v>
      </c>
      <c r="L147" s="10">
        <f t="shared" si="15"/>
        <v>51</v>
      </c>
      <c r="M147" s="10">
        <f t="shared" si="8"/>
        <v>2002.51</v>
      </c>
      <c r="N147" s="11">
        <f t="shared" si="9"/>
        <v>5929</v>
      </c>
    </row>
    <row r="148" spans="1:14" ht="10.5" customHeight="1">
      <c r="A148" s="142">
        <v>40391</v>
      </c>
      <c r="B148" s="259"/>
      <c r="C148" s="321">
        <f>'01'!F205</f>
        <v>3536.48</v>
      </c>
      <c r="D148" s="10">
        <f t="shared" si="14"/>
        <v>3536.48</v>
      </c>
      <c r="E148" s="10">
        <v>0</v>
      </c>
      <c r="F148" s="10">
        <v>0</v>
      </c>
      <c r="G148" s="10">
        <f t="shared" si="10"/>
        <v>3536.48</v>
      </c>
      <c r="H148" s="10">
        <f t="shared" si="11"/>
        <v>282.92</v>
      </c>
      <c r="I148" s="10">
        <f t="shared" si="12"/>
        <v>3819.4</v>
      </c>
      <c r="J148" s="19">
        <f>Plan1!H55</f>
        <v>1.027104577</v>
      </c>
      <c r="K148" s="10">
        <f t="shared" si="13"/>
        <v>3922.92</v>
      </c>
      <c r="L148" s="10">
        <f t="shared" si="15"/>
        <v>50</v>
      </c>
      <c r="M148" s="10">
        <f t="shared" si="8"/>
        <v>1961.46</v>
      </c>
      <c r="N148" s="11">
        <f t="shared" si="9"/>
        <v>5884.38</v>
      </c>
    </row>
    <row r="149" spans="1:14" ht="10.5" customHeight="1">
      <c r="A149" s="142">
        <v>40422</v>
      </c>
      <c r="B149" s="259"/>
      <c r="C149" s="321">
        <f>'01'!F206</f>
        <v>3422.4</v>
      </c>
      <c r="D149" s="10">
        <f t="shared" si="14"/>
        <v>3422.4</v>
      </c>
      <c r="E149" s="10">
        <v>0</v>
      </c>
      <c r="F149" s="10">
        <v>0</v>
      </c>
      <c r="G149" s="10">
        <f t="shared" si="10"/>
        <v>3422.4</v>
      </c>
      <c r="H149" s="10">
        <f t="shared" si="11"/>
        <v>273.79</v>
      </c>
      <c r="I149" s="10">
        <f t="shared" si="12"/>
        <v>3696.19</v>
      </c>
      <c r="J149" s="19">
        <f>Plan1!H56</f>
        <v>1.026384055</v>
      </c>
      <c r="K149" s="10">
        <f t="shared" si="13"/>
        <v>3793.71</v>
      </c>
      <c r="L149" s="10">
        <f t="shared" si="15"/>
        <v>49</v>
      </c>
      <c r="M149" s="10">
        <f t="shared" si="8"/>
        <v>1858.92</v>
      </c>
      <c r="N149" s="11">
        <f t="shared" si="9"/>
        <v>5652.63</v>
      </c>
    </row>
    <row r="150" spans="1:14" ht="10.5" customHeight="1">
      <c r="A150" s="142">
        <v>40452</v>
      </c>
      <c r="B150" s="259"/>
      <c r="C150" s="321">
        <f>'01'!F207</f>
        <v>3536.48</v>
      </c>
      <c r="D150" s="10">
        <f t="shared" si="14"/>
        <v>3536.48</v>
      </c>
      <c r="E150" s="10">
        <v>0</v>
      </c>
      <c r="F150" s="10">
        <v>0</v>
      </c>
      <c r="G150" s="10">
        <f t="shared" si="10"/>
        <v>3536.48</v>
      </c>
      <c r="H150" s="10">
        <f t="shared" si="11"/>
        <v>282.92</v>
      </c>
      <c r="I150" s="10">
        <f t="shared" si="12"/>
        <v>3819.4</v>
      </c>
      <c r="J150" s="19">
        <f>Plan1!H57</f>
        <v>1.02589983</v>
      </c>
      <c r="K150" s="10">
        <f t="shared" si="13"/>
        <v>3918.32</v>
      </c>
      <c r="L150" s="10">
        <f t="shared" si="15"/>
        <v>48</v>
      </c>
      <c r="M150" s="10">
        <f t="shared" si="8"/>
        <v>1880.79</v>
      </c>
      <c r="N150" s="11">
        <f t="shared" si="9"/>
        <v>5799.11</v>
      </c>
    </row>
    <row r="151" spans="1:14" ht="10.5" customHeight="1">
      <c r="A151" s="142">
        <v>40483</v>
      </c>
      <c r="B151" s="259"/>
      <c r="C151" s="321">
        <f>'01'!F208</f>
        <v>3422.4</v>
      </c>
      <c r="D151" s="10">
        <f t="shared" si="14"/>
        <v>3422.4</v>
      </c>
      <c r="E151" s="10">
        <v>0</v>
      </c>
      <c r="F151" s="10">
        <v>0</v>
      </c>
      <c r="G151" s="10">
        <f t="shared" si="10"/>
        <v>3422.4</v>
      </c>
      <c r="H151" s="10">
        <f t="shared" si="11"/>
        <v>273.79</v>
      </c>
      <c r="I151" s="10">
        <f t="shared" si="12"/>
        <v>3696.19</v>
      </c>
      <c r="J151" s="19">
        <f>Plan1!H58</f>
        <v>1.025555244</v>
      </c>
      <c r="K151" s="10">
        <f t="shared" si="13"/>
        <v>3790.65</v>
      </c>
      <c r="L151" s="10">
        <f t="shared" si="15"/>
        <v>47</v>
      </c>
      <c r="M151" s="10">
        <f t="shared" si="8"/>
        <v>1781.61</v>
      </c>
      <c r="N151" s="11">
        <f t="shared" si="9"/>
        <v>5572.26</v>
      </c>
    </row>
    <row r="152" spans="1:14" ht="10.5" customHeight="1">
      <c r="A152" s="142">
        <v>40513</v>
      </c>
      <c r="B152" s="259"/>
      <c r="C152" s="321">
        <f>'01'!F209</f>
        <v>3536.48</v>
      </c>
      <c r="D152" s="10">
        <f t="shared" si="14"/>
        <v>3536.48</v>
      </c>
      <c r="E152" s="10">
        <f>D151</f>
        <v>3422.4</v>
      </c>
      <c r="F152" s="10">
        <v>0</v>
      </c>
      <c r="G152" s="10">
        <f t="shared" si="10"/>
        <v>6958.88</v>
      </c>
      <c r="H152" s="10">
        <f t="shared" si="11"/>
        <v>556.71</v>
      </c>
      <c r="I152" s="10">
        <f t="shared" si="12"/>
        <v>7515.59</v>
      </c>
      <c r="J152" s="19">
        <f>Plan1!I47</f>
        <v>1.024115338</v>
      </c>
      <c r="K152" s="10">
        <f t="shared" si="13"/>
        <v>7696.83</v>
      </c>
      <c r="L152" s="10">
        <f t="shared" si="15"/>
        <v>46</v>
      </c>
      <c r="M152" s="10">
        <f aca="true" t="shared" si="16" ref="M152:M186">(K152*L152%)</f>
        <v>3540.54</v>
      </c>
      <c r="N152" s="11">
        <f aca="true" t="shared" si="17" ref="N152:N186">K152+M152</f>
        <v>11237.37</v>
      </c>
    </row>
    <row r="153" spans="1:14" ht="10.5" customHeight="1">
      <c r="A153" s="142">
        <v>40544</v>
      </c>
      <c r="B153" s="259"/>
      <c r="C153" s="321">
        <f>'01'!F210</f>
        <v>3853.92</v>
      </c>
      <c r="D153" s="10">
        <f t="shared" si="14"/>
        <v>3853.92</v>
      </c>
      <c r="E153" s="10">
        <v>0</v>
      </c>
      <c r="F153" s="10">
        <v>0</v>
      </c>
      <c r="G153" s="10">
        <f aca="true" t="shared" si="18" ref="G153:G186">D153+E153+F153</f>
        <v>3853.92</v>
      </c>
      <c r="H153" s="10">
        <f aca="true" t="shared" si="19" ref="H153:H186">G153*8%</f>
        <v>308.31</v>
      </c>
      <c r="I153" s="10">
        <f aca="true" t="shared" si="20" ref="I153:I186">G153+H153</f>
        <v>4162.23</v>
      </c>
      <c r="J153" s="19">
        <f>Plan1!I48</f>
        <v>1.023383618</v>
      </c>
      <c r="K153" s="10">
        <f aca="true" t="shared" si="21" ref="K153:K186">I153*J153</f>
        <v>4259.56</v>
      </c>
      <c r="L153" s="10">
        <f t="shared" si="15"/>
        <v>45</v>
      </c>
      <c r="M153" s="10">
        <f t="shared" si="16"/>
        <v>1916.8</v>
      </c>
      <c r="N153" s="11">
        <f t="shared" si="17"/>
        <v>6176.36</v>
      </c>
    </row>
    <row r="154" spans="1:14" ht="10.5" customHeight="1">
      <c r="A154" s="142">
        <v>40575</v>
      </c>
      <c r="B154" s="259"/>
      <c r="C154" s="321">
        <f>'01'!F211</f>
        <v>3480.96</v>
      </c>
      <c r="D154" s="10">
        <f aca="true" t="shared" si="22" ref="D154:D185">C154</f>
        <v>3480.96</v>
      </c>
      <c r="E154" s="10">
        <v>0</v>
      </c>
      <c r="F154" s="10">
        <v>0</v>
      </c>
      <c r="G154" s="10">
        <f t="shared" si="18"/>
        <v>3480.96</v>
      </c>
      <c r="H154" s="10">
        <f t="shared" si="19"/>
        <v>278.48</v>
      </c>
      <c r="I154" s="10">
        <f t="shared" si="20"/>
        <v>3759.44</v>
      </c>
      <c r="J154" s="19">
        <f>Plan1!I49</f>
        <v>1.022847646</v>
      </c>
      <c r="K154" s="10">
        <f t="shared" si="21"/>
        <v>3845.33</v>
      </c>
      <c r="L154" s="10">
        <f aca="true" t="shared" si="23" ref="L154:L186">L153-1</f>
        <v>44</v>
      </c>
      <c r="M154" s="10">
        <f t="shared" si="16"/>
        <v>1691.95</v>
      </c>
      <c r="N154" s="11">
        <f t="shared" si="17"/>
        <v>5537.28</v>
      </c>
    </row>
    <row r="155" spans="1:14" ht="10.5" customHeight="1">
      <c r="A155" s="142">
        <v>40603</v>
      </c>
      <c r="B155" s="259"/>
      <c r="C155" s="321">
        <f>'01'!F212</f>
        <v>3853.92</v>
      </c>
      <c r="D155" s="10">
        <f t="shared" si="22"/>
        <v>3853.92</v>
      </c>
      <c r="E155" s="10">
        <v>0</v>
      </c>
      <c r="F155" s="10">
        <v>0</v>
      </c>
      <c r="G155" s="10">
        <f t="shared" si="18"/>
        <v>3853.92</v>
      </c>
      <c r="H155" s="10">
        <f t="shared" si="19"/>
        <v>308.31</v>
      </c>
      <c r="I155" s="10">
        <f t="shared" si="20"/>
        <v>4162.23</v>
      </c>
      <c r="J155" s="19">
        <f>Plan1!I50</f>
        <v>1.021609456</v>
      </c>
      <c r="K155" s="10">
        <f t="shared" si="21"/>
        <v>4252.17</v>
      </c>
      <c r="L155" s="10">
        <f t="shared" si="23"/>
        <v>43</v>
      </c>
      <c r="M155" s="10">
        <f t="shared" si="16"/>
        <v>1828.43</v>
      </c>
      <c r="N155" s="11">
        <f t="shared" si="17"/>
        <v>6080.6</v>
      </c>
    </row>
    <row r="156" spans="1:14" ht="10.5" customHeight="1">
      <c r="A156" s="142">
        <v>40634</v>
      </c>
      <c r="B156" s="259"/>
      <c r="C156" s="321">
        <f>'01'!F213</f>
        <v>3729.6</v>
      </c>
      <c r="D156" s="10">
        <v>0</v>
      </c>
      <c r="E156" s="10">
        <v>0</v>
      </c>
      <c r="F156" s="10">
        <f>3729.6*1.333333</f>
        <v>4972.8</v>
      </c>
      <c r="G156" s="10">
        <f t="shared" si="18"/>
        <v>4972.8</v>
      </c>
      <c r="H156" s="10">
        <f t="shared" si="19"/>
        <v>397.82</v>
      </c>
      <c r="I156" s="10">
        <f t="shared" si="20"/>
        <v>5370.62</v>
      </c>
      <c r="J156" s="19">
        <f>Plan1!I51</f>
        <v>1.021232621</v>
      </c>
      <c r="K156" s="10">
        <f t="shared" si="21"/>
        <v>5484.65</v>
      </c>
      <c r="L156" s="10">
        <f t="shared" si="23"/>
        <v>42</v>
      </c>
      <c r="M156" s="10">
        <f t="shared" si="16"/>
        <v>2303.55</v>
      </c>
      <c r="N156" s="11">
        <f t="shared" si="17"/>
        <v>7788.2</v>
      </c>
    </row>
    <row r="157" spans="1:14" ht="10.5" customHeight="1">
      <c r="A157" s="142">
        <v>40664</v>
      </c>
      <c r="B157" s="259"/>
      <c r="C157" s="321">
        <f>'01'!F214</f>
        <v>3853.92</v>
      </c>
      <c r="D157" s="10">
        <f t="shared" si="22"/>
        <v>3853.92</v>
      </c>
      <c r="E157" s="10">
        <v>0</v>
      </c>
      <c r="F157" s="10">
        <v>0</v>
      </c>
      <c r="G157" s="10">
        <f t="shared" si="18"/>
        <v>3853.92</v>
      </c>
      <c r="H157" s="10">
        <f t="shared" si="19"/>
        <v>308.31</v>
      </c>
      <c r="I157" s="10">
        <f t="shared" si="20"/>
        <v>4162.23</v>
      </c>
      <c r="J157" s="19">
        <f>Plan1!I52</f>
        <v>1.019631799</v>
      </c>
      <c r="K157" s="10">
        <f t="shared" si="21"/>
        <v>4243.94</v>
      </c>
      <c r="L157" s="10">
        <f t="shared" si="23"/>
        <v>41</v>
      </c>
      <c r="M157" s="10">
        <f t="shared" si="16"/>
        <v>1740.02</v>
      </c>
      <c r="N157" s="11">
        <f t="shared" si="17"/>
        <v>5983.96</v>
      </c>
    </row>
    <row r="158" spans="1:14" ht="10.5" customHeight="1">
      <c r="A158" s="142">
        <v>40695</v>
      </c>
      <c r="B158" s="259"/>
      <c r="C158" s="321">
        <f>'01'!F215</f>
        <v>3729.6</v>
      </c>
      <c r="D158" s="10">
        <f t="shared" si="22"/>
        <v>3729.6</v>
      </c>
      <c r="E158" s="10">
        <v>0</v>
      </c>
      <c r="F158" s="10">
        <v>0</v>
      </c>
      <c r="G158" s="10">
        <f t="shared" si="18"/>
        <v>3729.6</v>
      </c>
      <c r="H158" s="10">
        <f t="shared" si="19"/>
        <v>298.37</v>
      </c>
      <c r="I158" s="10">
        <f t="shared" si="20"/>
        <v>4027.97</v>
      </c>
      <c r="J158" s="19">
        <f>Plan1!I53</f>
        <v>1.018497193</v>
      </c>
      <c r="K158" s="10">
        <f t="shared" si="21"/>
        <v>4102.48</v>
      </c>
      <c r="L158" s="10">
        <f t="shared" si="23"/>
        <v>40</v>
      </c>
      <c r="M158" s="10">
        <f t="shared" si="16"/>
        <v>1640.99</v>
      </c>
      <c r="N158" s="11">
        <f t="shared" si="17"/>
        <v>5743.47</v>
      </c>
    </row>
    <row r="159" spans="1:14" ht="10.5" customHeight="1">
      <c r="A159" s="142">
        <v>40725</v>
      </c>
      <c r="B159" s="259"/>
      <c r="C159" s="321">
        <f>'01'!F216</f>
        <v>3853.92</v>
      </c>
      <c r="D159" s="10">
        <f t="shared" si="22"/>
        <v>3853.92</v>
      </c>
      <c r="E159" s="10">
        <v>0</v>
      </c>
      <c r="F159" s="10">
        <v>0</v>
      </c>
      <c r="G159" s="10">
        <f t="shared" si="18"/>
        <v>3853.92</v>
      </c>
      <c r="H159" s="10">
        <f t="shared" si="19"/>
        <v>308.31</v>
      </c>
      <c r="I159" s="10">
        <f t="shared" si="20"/>
        <v>4162.23</v>
      </c>
      <c r="J159" s="19">
        <f>Plan1!I54</f>
        <v>1.017246996</v>
      </c>
      <c r="K159" s="10">
        <f t="shared" si="21"/>
        <v>4234.02</v>
      </c>
      <c r="L159" s="10">
        <f t="shared" si="23"/>
        <v>39</v>
      </c>
      <c r="M159" s="10">
        <f t="shared" si="16"/>
        <v>1651.27</v>
      </c>
      <c r="N159" s="11">
        <f t="shared" si="17"/>
        <v>5885.29</v>
      </c>
    </row>
    <row r="160" spans="1:14" ht="10.5" customHeight="1">
      <c r="A160" s="142">
        <v>40756</v>
      </c>
      <c r="B160" s="259"/>
      <c r="C160" s="321">
        <f>'01'!F217</f>
        <v>3853.92</v>
      </c>
      <c r="D160" s="10">
        <f t="shared" si="22"/>
        <v>3853.92</v>
      </c>
      <c r="E160" s="10">
        <v>0</v>
      </c>
      <c r="F160" s="10">
        <v>0</v>
      </c>
      <c r="G160" s="10">
        <f t="shared" si="18"/>
        <v>3853.92</v>
      </c>
      <c r="H160" s="10">
        <f t="shared" si="19"/>
        <v>308.31</v>
      </c>
      <c r="I160" s="10">
        <f t="shared" si="20"/>
        <v>4162.23</v>
      </c>
      <c r="J160" s="19">
        <f>Plan1!I55</f>
        <v>1.015139567</v>
      </c>
      <c r="K160" s="10">
        <f t="shared" si="21"/>
        <v>4225.24</v>
      </c>
      <c r="L160" s="10">
        <f t="shared" si="23"/>
        <v>38</v>
      </c>
      <c r="M160" s="10">
        <f t="shared" si="16"/>
        <v>1605.59</v>
      </c>
      <c r="N160" s="11">
        <f t="shared" si="17"/>
        <v>5830.83</v>
      </c>
    </row>
    <row r="161" spans="1:14" ht="10.5" customHeight="1">
      <c r="A161" s="142">
        <v>40787</v>
      </c>
      <c r="B161" s="259"/>
      <c r="C161" s="321">
        <f>'01'!F218</f>
        <v>3729.6</v>
      </c>
      <c r="D161" s="10">
        <f t="shared" si="22"/>
        <v>3729.6</v>
      </c>
      <c r="E161" s="10">
        <v>0</v>
      </c>
      <c r="F161" s="10">
        <v>0</v>
      </c>
      <c r="G161" s="10">
        <f t="shared" si="18"/>
        <v>3729.6</v>
      </c>
      <c r="H161" s="10">
        <f t="shared" si="19"/>
        <v>298.37</v>
      </c>
      <c r="I161" s="10">
        <f t="shared" si="20"/>
        <v>4027.97</v>
      </c>
      <c r="J161" s="19">
        <f>Plan1!I56</f>
        <v>1.014122402</v>
      </c>
      <c r="K161" s="10">
        <f t="shared" si="21"/>
        <v>4084.85</v>
      </c>
      <c r="L161" s="10">
        <f t="shared" si="23"/>
        <v>37</v>
      </c>
      <c r="M161" s="10">
        <f t="shared" si="16"/>
        <v>1511.39</v>
      </c>
      <c r="N161" s="11">
        <f t="shared" si="17"/>
        <v>5596.24</v>
      </c>
    </row>
    <row r="162" spans="1:14" ht="10.5" customHeight="1">
      <c r="A162" s="142">
        <v>40817</v>
      </c>
      <c r="B162" s="259"/>
      <c r="C162" s="321">
        <f>'01'!F219</f>
        <v>3853.92</v>
      </c>
      <c r="D162" s="10">
        <f t="shared" si="22"/>
        <v>3853.92</v>
      </c>
      <c r="E162" s="10">
        <v>0</v>
      </c>
      <c r="F162" s="10">
        <v>0</v>
      </c>
      <c r="G162" s="10">
        <f t="shared" si="18"/>
        <v>3853.92</v>
      </c>
      <c r="H162" s="10">
        <f t="shared" si="19"/>
        <v>308.31</v>
      </c>
      <c r="I162" s="10">
        <f t="shared" si="20"/>
        <v>4162.23</v>
      </c>
      <c r="J162" s="19">
        <f>Plan1!I57</f>
        <v>1.013494036</v>
      </c>
      <c r="K162" s="10">
        <f t="shared" si="21"/>
        <v>4218.4</v>
      </c>
      <c r="L162" s="10">
        <f t="shared" si="23"/>
        <v>36</v>
      </c>
      <c r="M162" s="10">
        <f t="shared" si="16"/>
        <v>1518.62</v>
      </c>
      <c r="N162" s="11">
        <f t="shared" si="17"/>
        <v>5737.02</v>
      </c>
    </row>
    <row r="163" spans="1:14" ht="10.5" customHeight="1">
      <c r="A163" s="142">
        <v>40848</v>
      </c>
      <c r="B163" s="259"/>
      <c r="C163" s="321">
        <f>'01'!F220</f>
        <v>3729.6</v>
      </c>
      <c r="D163" s="10">
        <f t="shared" si="22"/>
        <v>3729.6</v>
      </c>
      <c r="E163" s="10">
        <v>0</v>
      </c>
      <c r="F163" s="10">
        <v>0</v>
      </c>
      <c r="G163" s="10">
        <f t="shared" si="18"/>
        <v>3729.6</v>
      </c>
      <c r="H163" s="10">
        <f t="shared" si="19"/>
        <v>298.37</v>
      </c>
      <c r="I163" s="10">
        <f t="shared" si="20"/>
        <v>4027.97</v>
      </c>
      <c r="J163" s="19">
        <f>Plan1!I58</f>
        <v>1.012840753</v>
      </c>
      <c r="K163" s="10">
        <f t="shared" si="21"/>
        <v>4079.69</v>
      </c>
      <c r="L163" s="10">
        <f t="shared" si="23"/>
        <v>35</v>
      </c>
      <c r="M163" s="10">
        <f t="shared" si="16"/>
        <v>1427.89</v>
      </c>
      <c r="N163" s="11">
        <f t="shared" si="17"/>
        <v>5507.58</v>
      </c>
    </row>
    <row r="164" spans="1:14" ht="10.5" customHeight="1">
      <c r="A164" s="142">
        <v>40878</v>
      </c>
      <c r="B164" s="259"/>
      <c r="C164" s="321">
        <f>'01'!F221</f>
        <v>3853.92</v>
      </c>
      <c r="D164" s="10">
        <f t="shared" si="22"/>
        <v>3853.92</v>
      </c>
      <c r="E164" s="10">
        <f>D163</f>
        <v>3729.6</v>
      </c>
      <c r="F164" s="10">
        <v>0</v>
      </c>
      <c r="G164" s="10">
        <f t="shared" si="18"/>
        <v>7583.52</v>
      </c>
      <c r="H164" s="10">
        <f t="shared" si="19"/>
        <v>606.68</v>
      </c>
      <c r="I164" s="10">
        <f t="shared" si="20"/>
        <v>8190.2</v>
      </c>
      <c r="J164" s="19">
        <f>Plan1!J47</f>
        <v>1.01189261</v>
      </c>
      <c r="K164" s="10">
        <f t="shared" si="21"/>
        <v>8287.6</v>
      </c>
      <c r="L164" s="10">
        <f t="shared" si="23"/>
        <v>34</v>
      </c>
      <c r="M164" s="10">
        <f t="shared" si="16"/>
        <v>2817.78</v>
      </c>
      <c r="N164" s="11">
        <f t="shared" si="17"/>
        <v>11105.38</v>
      </c>
    </row>
    <row r="165" spans="1:14" ht="10.5" customHeight="1">
      <c r="A165" s="142">
        <v>40909</v>
      </c>
      <c r="B165" s="259"/>
      <c r="C165" s="321">
        <f>'01'!F222</f>
        <v>4238.32</v>
      </c>
      <c r="D165" s="10">
        <f t="shared" si="22"/>
        <v>4238.32</v>
      </c>
      <c r="E165" s="10">
        <v>0</v>
      </c>
      <c r="F165" s="10">
        <v>0</v>
      </c>
      <c r="G165" s="10">
        <f t="shared" si="18"/>
        <v>4238.32</v>
      </c>
      <c r="H165" s="10">
        <f t="shared" si="19"/>
        <v>339.07</v>
      </c>
      <c r="I165" s="10">
        <f t="shared" si="20"/>
        <v>4577.39</v>
      </c>
      <c r="J165" s="19">
        <f>Plan1!J48</f>
        <v>1.011019089</v>
      </c>
      <c r="K165" s="10">
        <f t="shared" si="21"/>
        <v>4627.83</v>
      </c>
      <c r="L165" s="10">
        <f t="shared" si="23"/>
        <v>33</v>
      </c>
      <c r="M165" s="10">
        <f t="shared" si="16"/>
        <v>1527.18</v>
      </c>
      <c r="N165" s="11">
        <f t="shared" si="17"/>
        <v>6155.01</v>
      </c>
    </row>
    <row r="166" spans="1:14" ht="10.5" customHeight="1">
      <c r="A166" s="142">
        <v>40940</v>
      </c>
      <c r="B166" s="259"/>
      <c r="C166" s="321">
        <f>'01'!F223</f>
        <v>3964.88</v>
      </c>
      <c r="D166" s="10">
        <f t="shared" si="22"/>
        <v>3964.88</v>
      </c>
      <c r="E166" s="10">
        <v>0</v>
      </c>
      <c r="F166" s="10">
        <v>0</v>
      </c>
      <c r="G166" s="10">
        <f t="shared" si="18"/>
        <v>3964.88</v>
      </c>
      <c r="H166" s="10">
        <f t="shared" si="19"/>
        <v>317.19</v>
      </c>
      <c r="I166" s="10">
        <f t="shared" si="20"/>
        <v>4282.07</v>
      </c>
      <c r="J166" s="19">
        <f>Plan1!J49</f>
        <v>1.011019089</v>
      </c>
      <c r="K166" s="10">
        <f t="shared" si="21"/>
        <v>4329.25</v>
      </c>
      <c r="L166" s="10">
        <f t="shared" si="23"/>
        <v>32</v>
      </c>
      <c r="M166" s="10">
        <f t="shared" si="16"/>
        <v>1385.36</v>
      </c>
      <c r="N166" s="11">
        <f t="shared" si="17"/>
        <v>5714.61</v>
      </c>
    </row>
    <row r="167" spans="1:14" ht="10.5" customHeight="1">
      <c r="A167" s="142">
        <v>40969</v>
      </c>
      <c r="B167" s="259"/>
      <c r="C167" s="321">
        <f>'01'!F224</f>
        <v>4238.32</v>
      </c>
      <c r="D167" s="10">
        <f t="shared" si="22"/>
        <v>4238.32</v>
      </c>
      <c r="E167" s="10">
        <v>0</v>
      </c>
      <c r="F167" s="10">
        <v>0</v>
      </c>
      <c r="G167" s="10">
        <f t="shared" si="18"/>
        <v>4238.32</v>
      </c>
      <c r="H167" s="10">
        <f t="shared" si="19"/>
        <v>339.07</v>
      </c>
      <c r="I167" s="10">
        <f t="shared" si="20"/>
        <v>4577.39</v>
      </c>
      <c r="J167" s="19">
        <f>Plan1!J50</f>
        <v>1.009940473</v>
      </c>
      <c r="K167" s="10">
        <f t="shared" si="21"/>
        <v>4622.89</v>
      </c>
      <c r="L167" s="10">
        <f t="shared" si="23"/>
        <v>31</v>
      </c>
      <c r="M167" s="10">
        <f t="shared" si="16"/>
        <v>1433.1</v>
      </c>
      <c r="N167" s="11">
        <f t="shared" si="17"/>
        <v>6055.99</v>
      </c>
    </row>
    <row r="168" spans="1:14" ht="10.5" customHeight="1">
      <c r="A168" s="142">
        <v>41000</v>
      </c>
      <c r="B168" s="259"/>
      <c r="C168" s="321">
        <f>'01'!F225</f>
        <v>4101.6</v>
      </c>
      <c r="D168" s="10">
        <v>0</v>
      </c>
      <c r="E168" s="10">
        <v>0</v>
      </c>
      <c r="F168" s="10">
        <f>4101.6*1.333333</f>
        <v>5468.8</v>
      </c>
      <c r="G168" s="10">
        <f t="shared" si="18"/>
        <v>5468.8</v>
      </c>
      <c r="H168" s="10">
        <f t="shared" si="19"/>
        <v>437.5</v>
      </c>
      <c r="I168" s="10">
        <f t="shared" si="20"/>
        <v>5906.3</v>
      </c>
      <c r="J168" s="19">
        <f>Plan1!J51</f>
        <v>1.009711269</v>
      </c>
      <c r="K168" s="10">
        <f t="shared" si="21"/>
        <v>5963.66</v>
      </c>
      <c r="L168" s="10">
        <f t="shared" si="23"/>
        <v>30</v>
      </c>
      <c r="M168" s="10">
        <f t="shared" si="16"/>
        <v>1789.1</v>
      </c>
      <c r="N168" s="11">
        <f t="shared" si="17"/>
        <v>7752.76</v>
      </c>
    </row>
    <row r="169" spans="1:14" ht="10.5" customHeight="1">
      <c r="A169" s="142">
        <v>41030</v>
      </c>
      <c r="B169" s="259"/>
      <c r="C169" s="321">
        <f>'01'!F226</f>
        <v>4238.32</v>
      </c>
      <c r="D169" s="10">
        <f t="shared" si="22"/>
        <v>4238.32</v>
      </c>
      <c r="E169" s="10">
        <v>0</v>
      </c>
      <c r="F169" s="10">
        <v>0</v>
      </c>
      <c r="G169" s="10">
        <f t="shared" si="18"/>
        <v>4238.32</v>
      </c>
      <c r="H169" s="10">
        <f t="shared" si="19"/>
        <v>339.07</v>
      </c>
      <c r="I169" s="10">
        <f t="shared" si="20"/>
        <v>4577.39</v>
      </c>
      <c r="J169" s="19">
        <f>Plan1!J52</f>
        <v>1.009238945</v>
      </c>
      <c r="K169" s="10">
        <f t="shared" si="21"/>
        <v>4619.68</v>
      </c>
      <c r="L169" s="10">
        <f t="shared" si="23"/>
        <v>29</v>
      </c>
      <c r="M169" s="10">
        <f t="shared" si="16"/>
        <v>1339.71</v>
      </c>
      <c r="N169" s="11">
        <f t="shared" si="17"/>
        <v>5959.39</v>
      </c>
    </row>
    <row r="170" spans="1:14" ht="10.5" customHeight="1">
      <c r="A170" s="142">
        <v>41061</v>
      </c>
      <c r="B170" s="259"/>
      <c r="C170" s="321">
        <f>'01'!F227</f>
        <v>4101.6</v>
      </c>
      <c r="D170" s="10">
        <f t="shared" si="22"/>
        <v>4101.6</v>
      </c>
      <c r="E170" s="10">
        <v>0</v>
      </c>
      <c r="F170" s="10">
        <v>0</v>
      </c>
      <c r="G170" s="10">
        <f t="shared" si="18"/>
        <v>4101.6</v>
      </c>
      <c r="H170" s="10">
        <f t="shared" si="19"/>
        <v>328.13</v>
      </c>
      <c r="I170" s="10">
        <f t="shared" si="20"/>
        <v>4429.73</v>
      </c>
      <c r="J170" s="19">
        <f>Plan1!J53</f>
        <v>1.009238945</v>
      </c>
      <c r="K170" s="10">
        <f t="shared" si="21"/>
        <v>4470.66</v>
      </c>
      <c r="L170" s="10">
        <f t="shared" si="23"/>
        <v>28</v>
      </c>
      <c r="M170" s="10">
        <f t="shared" si="16"/>
        <v>1251.78</v>
      </c>
      <c r="N170" s="11">
        <f t="shared" si="17"/>
        <v>5722.44</v>
      </c>
    </row>
    <row r="171" spans="1:14" ht="10.5" customHeight="1">
      <c r="A171" s="142">
        <v>41091</v>
      </c>
      <c r="B171" s="259"/>
      <c r="C171" s="321">
        <f>'01'!F228</f>
        <v>4238.32</v>
      </c>
      <c r="D171" s="10">
        <f t="shared" si="22"/>
        <v>4238.32</v>
      </c>
      <c r="E171" s="10">
        <v>0</v>
      </c>
      <c r="F171" s="10">
        <v>0</v>
      </c>
      <c r="G171" s="10">
        <f t="shared" si="18"/>
        <v>4238.32</v>
      </c>
      <c r="H171" s="10">
        <f t="shared" si="19"/>
        <v>339.07</v>
      </c>
      <c r="I171" s="10">
        <f t="shared" si="20"/>
        <v>4577.39</v>
      </c>
      <c r="J171" s="19">
        <f>Plan1!J54</f>
        <v>1.009093635</v>
      </c>
      <c r="K171" s="10">
        <f t="shared" si="21"/>
        <v>4619.02</v>
      </c>
      <c r="L171" s="10">
        <f t="shared" si="23"/>
        <v>27</v>
      </c>
      <c r="M171" s="10">
        <f t="shared" si="16"/>
        <v>1247.14</v>
      </c>
      <c r="N171" s="11">
        <f t="shared" si="17"/>
        <v>5866.16</v>
      </c>
    </row>
    <row r="172" spans="1:14" ht="10.5" customHeight="1">
      <c r="A172" s="142">
        <v>41122</v>
      </c>
      <c r="B172" s="259"/>
      <c r="C172" s="321">
        <f>'01'!F229</f>
        <v>4238.32</v>
      </c>
      <c r="D172" s="10">
        <f t="shared" si="22"/>
        <v>4238.32</v>
      </c>
      <c r="E172" s="10">
        <v>0</v>
      </c>
      <c r="F172" s="10">
        <v>0</v>
      </c>
      <c r="G172" s="10">
        <f t="shared" si="18"/>
        <v>4238.32</v>
      </c>
      <c r="H172" s="10">
        <f t="shared" si="19"/>
        <v>339.07</v>
      </c>
      <c r="I172" s="10">
        <f t="shared" si="20"/>
        <v>4577.39</v>
      </c>
      <c r="J172" s="19">
        <f>Plan1!J55</f>
        <v>1.008969532</v>
      </c>
      <c r="K172" s="10">
        <f t="shared" si="21"/>
        <v>4618.45</v>
      </c>
      <c r="L172" s="10">
        <f t="shared" si="23"/>
        <v>26</v>
      </c>
      <c r="M172" s="10">
        <f t="shared" si="16"/>
        <v>1200.8</v>
      </c>
      <c r="N172" s="11">
        <f t="shared" si="17"/>
        <v>5819.25</v>
      </c>
    </row>
    <row r="173" spans="1:14" ht="10.5" customHeight="1">
      <c r="A173" s="142">
        <v>41153</v>
      </c>
      <c r="B173" s="259"/>
      <c r="C173" s="321">
        <f>'01'!F230</f>
        <v>4101.6</v>
      </c>
      <c r="D173" s="10">
        <f t="shared" si="22"/>
        <v>4101.6</v>
      </c>
      <c r="E173" s="10">
        <v>0</v>
      </c>
      <c r="F173" s="10">
        <v>0</v>
      </c>
      <c r="G173" s="10">
        <f t="shared" si="18"/>
        <v>4101.6</v>
      </c>
      <c r="H173" s="10">
        <f t="shared" si="19"/>
        <v>328.13</v>
      </c>
      <c r="I173" s="10">
        <f t="shared" si="20"/>
        <v>4429.73</v>
      </c>
      <c r="J173" s="19">
        <f>Plan1!J56</f>
        <v>1.008969532</v>
      </c>
      <c r="K173" s="10">
        <f t="shared" si="21"/>
        <v>4469.46</v>
      </c>
      <c r="L173" s="10">
        <f t="shared" si="23"/>
        <v>25</v>
      </c>
      <c r="M173" s="10">
        <f t="shared" si="16"/>
        <v>1117.37</v>
      </c>
      <c r="N173" s="11">
        <f t="shared" si="17"/>
        <v>5586.83</v>
      </c>
    </row>
    <row r="174" spans="1:14" ht="10.5" customHeight="1">
      <c r="A174" s="142">
        <v>41183</v>
      </c>
      <c r="B174" s="259"/>
      <c r="C174" s="321">
        <f>'01'!F231</f>
        <v>4238.32</v>
      </c>
      <c r="D174" s="10">
        <f t="shared" si="22"/>
        <v>4238.32</v>
      </c>
      <c r="E174" s="10">
        <v>0</v>
      </c>
      <c r="F174" s="10">
        <v>0</v>
      </c>
      <c r="G174" s="10">
        <f t="shared" si="18"/>
        <v>4238.32</v>
      </c>
      <c r="H174" s="10">
        <f t="shared" si="19"/>
        <v>339.07</v>
      </c>
      <c r="I174" s="10">
        <f t="shared" si="20"/>
        <v>4577.39</v>
      </c>
      <c r="J174" s="19">
        <f>Plan1!J57</f>
        <v>1.008969532</v>
      </c>
      <c r="K174" s="10">
        <f t="shared" si="21"/>
        <v>4618.45</v>
      </c>
      <c r="L174" s="10">
        <f t="shared" si="23"/>
        <v>24</v>
      </c>
      <c r="M174" s="10">
        <f t="shared" si="16"/>
        <v>1108.43</v>
      </c>
      <c r="N174" s="11">
        <f t="shared" si="17"/>
        <v>5726.88</v>
      </c>
    </row>
    <row r="175" spans="1:14" ht="10.5" customHeight="1">
      <c r="A175" s="142">
        <v>41214</v>
      </c>
      <c r="B175" s="259"/>
      <c r="C175" s="321">
        <f>'01'!F232</f>
        <v>4101.6</v>
      </c>
      <c r="D175" s="10">
        <f t="shared" si="22"/>
        <v>4101.6</v>
      </c>
      <c r="E175" s="10">
        <v>0</v>
      </c>
      <c r="F175" s="10">
        <v>0</v>
      </c>
      <c r="G175" s="10">
        <f t="shared" si="18"/>
        <v>4101.6</v>
      </c>
      <c r="H175" s="10">
        <f t="shared" si="19"/>
        <v>328.13</v>
      </c>
      <c r="I175" s="10">
        <f t="shared" si="20"/>
        <v>4429.73</v>
      </c>
      <c r="J175" s="19">
        <f>Plan1!J58</f>
        <v>1.008969532</v>
      </c>
      <c r="K175" s="10">
        <f t="shared" si="21"/>
        <v>4469.46</v>
      </c>
      <c r="L175" s="10">
        <f t="shared" si="23"/>
        <v>23</v>
      </c>
      <c r="M175" s="10">
        <f t="shared" si="16"/>
        <v>1027.98</v>
      </c>
      <c r="N175" s="11">
        <f t="shared" si="17"/>
        <v>5497.44</v>
      </c>
    </row>
    <row r="176" spans="1:14" ht="10.5" customHeight="1">
      <c r="A176" s="142">
        <v>41244</v>
      </c>
      <c r="B176" s="259"/>
      <c r="C176" s="321">
        <f>'01'!F233</f>
        <v>4238.32</v>
      </c>
      <c r="D176" s="10">
        <f t="shared" si="22"/>
        <v>4238.32</v>
      </c>
      <c r="E176" s="10">
        <f>D175</f>
        <v>4101.6</v>
      </c>
      <c r="F176" s="10">
        <v>0</v>
      </c>
      <c r="G176" s="10">
        <f t="shared" si="18"/>
        <v>8339.92</v>
      </c>
      <c r="H176" s="10">
        <f t="shared" si="19"/>
        <v>667.19</v>
      </c>
      <c r="I176" s="10">
        <f t="shared" si="20"/>
        <v>9007.11</v>
      </c>
      <c r="J176" s="19">
        <f>Plan1!K47</f>
        <v>1.008969532</v>
      </c>
      <c r="K176" s="10">
        <f t="shared" si="21"/>
        <v>9087.9</v>
      </c>
      <c r="L176" s="10">
        <f t="shared" si="23"/>
        <v>22</v>
      </c>
      <c r="M176" s="10">
        <f t="shared" si="16"/>
        <v>1999.34</v>
      </c>
      <c r="N176" s="11">
        <f t="shared" si="17"/>
        <v>11087.24</v>
      </c>
    </row>
    <row r="177" spans="1:14" ht="10.5" customHeight="1">
      <c r="A177" s="142">
        <v>41275</v>
      </c>
      <c r="B177" s="259"/>
      <c r="C177" s="321">
        <f>'01'!F234</f>
        <v>4578.08</v>
      </c>
      <c r="D177" s="10">
        <f t="shared" si="22"/>
        <v>4578.08</v>
      </c>
      <c r="E177" s="10">
        <v>0</v>
      </c>
      <c r="F177" s="10">
        <v>0</v>
      </c>
      <c r="G177" s="10">
        <f t="shared" si="18"/>
        <v>4578.08</v>
      </c>
      <c r="H177" s="10">
        <f t="shared" si="19"/>
        <v>366.25</v>
      </c>
      <c r="I177" s="10">
        <f t="shared" si="20"/>
        <v>4944.33</v>
      </c>
      <c r="J177" s="19">
        <f>Plan1!K48</f>
        <v>1.008969532</v>
      </c>
      <c r="K177" s="10">
        <f t="shared" si="21"/>
        <v>4988.68</v>
      </c>
      <c r="L177" s="10">
        <f t="shared" si="23"/>
        <v>21</v>
      </c>
      <c r="M177" s="10">
        <f t="shared" si="16"/>
        <v>1047.62</v>
      </c>
      <c r="N177" s="11">
        <f t="shared" si="17"/>
        <v>6036.3</v>
      </c>
    </row>
    <row r="178" spans="1:14" ht="10.5" customHeight="1">
      <c r="A178" s="142">
        <v>41306</v>
      </c>
      <c r="B178" s="259"/>
      <c r="C178" s="321">
        <f>'01'!F235</f>
        <v>4135.04</v>
      </c>
      <c r="D178" s="10">
        <f t="shared" si="22"/>
        <v>4135.04</v>
      </c>
      <c r="E178" s="10">
        <v>0</v>
      </c>
      <c r="F178" s="10">
        <v>0</v>
      </c>
      <c r="G178" s="10">
        <f t="shared" si="18"/>
        <v>4135.04</v>
      </c>
      <c r="H178" s="10">
        <f t="shared" si="19"/>
        <v>330.8</v>
      </c>
      <c r="I178" s="10">
        <f t="shared" si="20"/>
        <v>4465.84</v>
      </c>
      <c r="J178" s="19">
        <f>Plan1!K49</f>
        <v>1.008969532</v>
      </c>
      <c r="K178" s="10">
        <f t="shared" si="21"/>
        <v>4505.9</v>
      </c>
      <c r="L178" s="10">
        <f t="shared" si="23"/>
        <v>20</v>
      </c>
      <c r="M178" s="10">
        <f t="shared" si="16"/>
        <v>901.18</v>
      </c>
      <c r="N178" s="11">
        <f t="shared" si="17"/>
        <v>5407.08</v>
      </c>
    </row>
    <row r="179" spans="1:14" ht="10.5" customHeight="1">
      <c r="A179" s="142">
        <v>41334</v>
      </c>
      <c r="B179" s="259"/>
      <c r="C179" s="321">
        <f>'01'!F236</f>
        <v>4578.08</v>
      </c>
      <c r="D179" s="10">
        <f t="shared" si="22"/>
        <v>4578.08</v>
      </c>
      <c r="E179" s="10">
        <v>0</v>
      </c>
      <c r="F179" s="10">
        <v>0</v>
      </c>
      <c r="G179" s="10">
        <f t="shared" si="18"/>
        <v>4578.08</v>
      </c>
      <c r="H179" s="10">
        <f t="shared" si="19"/>
        <v>366.25</v>
      </c>
      <c r="I179" s="10">
        <f t="shared" si="20"/>
        <v>4944.33</v>
      </c>
      <c r="J179" s="19">
        <f>Plan1!K50</f>
        <v>1.008969532</v>
      </c>
      <c r="K179" s="10">
        <f t="shared" si="21"/>
        <v>4988.68</v>
      </c>
      <c r="L179" s="10">
        <f t="shared" si="23"/>
        <v>19</v>
      </c>
      <c r="M179" s="10">
        <f t="shared" si="16"/>
        <v>947.85</v>
      </c>
      <c r="N179" s="11">
        <f t="shared" si="17"/>
        <v>5936.53</v>
      </c>
    </row>
    <row r="180" spans="1:14" ht="10.5" customHeight="1">
      <c r="A180" s="142">
        <v>41365</v>
      </c>
      <c r="B180" s="259"/>
      <c r="C180" s="321">
        <f>'01'!F237</f>
        <v>4430.4</v>
      </c>
      <c r="D180" s="10">
        <v>0</v>
      </c>
      <c r="E180" s="10">
        <v>0</v>
      </c>
      <c r="F180" s="10">
        <f>4430.4*1.333333</f>
        <v>5907.2</v>
      </c>
      <c r="G180" s="10">
        <f t="shared" si="18"/>
        <v>5907.2</v>
      </c>
      <c r="H180" s="10">
        <f t="shared" si="19"/>
        <v>472.58</v>
      </c>
      <c r="I180" s="10">
        <f t="shared" si="20"/>
        <v>6379.78</v>
      </c>
      <c r="J180" s="19">
        <f>Plan1!K51</f>
        <v>1.008969532</v>
      </c>
      <c r="K180" s="10">
        <f t="shared" si="21"/>
        <v>6437</v>
      </c>
      <c r="L180" s="10">
        <f t="shared" si="23"/>
        <v>18</v>
      </c>
      <c r="M180" s="10">
        <f t="shared" si="16"/>
        <v>1158.66</v>
      </c>
      <c r="N180" s="11">
        <f t="shared" si="17"/>
        <v>7595.66</v>
      </c>
    </row>
    <row r="181" spans="1:14" ht="10.5" customHeight="1">
      <c r="A181" s="142">
        <v>41395</v>
      </c>
      <c r="B181" s="259"/>
      <c r="C181" s="321">
        <f>'01'!F238</f>
        <v>4578.08</v>
      </c>
      <c r="D181" s="10">
        <f t="shared" si="22"/>
        <v>4578.08</v>
      </c>
      <c r="E181" s="10">
        <v>0</v>
      </c>
      <c r="F181" s="10">
        <v>0</v>
      </c>
      <c r="G181" s="10">
        <f t="shared" si="18"/>
        <v>4578.08</v>
      </c>
      <c r="H181" s="10">
        <f t="shared" si="19"/>
        <v>366.25</v>
      </c>
      <c r="I181" s="10">
        <f t="shared" si="20"/>
        <v>4944.33</v>
      </c>
      <c r="J181" s="19">
        <f>Plan1!K52</f>
        <v>1.008969532</v>
      </c>
      <c r="K181" s="10">
        <f t="shared" si="21"/>
        <v>4988.68</v>
      </c>
      <c r="L181" s="10">
        <f t="shared" si="23"/>
        <v>17</v>
      </c>
      <c r="M181" s="10">
        <f t="shared" si="16"/>
        <v>848.08</v>
      </c>
      <c r="N181" s="11">
        <f t="shared" si="17"/>
        <v>5836.76</v>
      </c>
    </row>
    <row r="182" spans="1:14" ht="10.5" customHeight="1">
      <c r="A182" s="142">
        <v>41426</v>
      </c>
      <c r="B182" s="259"/>
      <c r="C182" s="321">
        <f>'01'!F239</f>
        <v>4430.4</v>
      </c>
      <c r="D182" s="10">
        <f t="shared" si="22"/>
        <v>4430.4</v>
      </c>
      <c r="E182" s="10">
        <v>0</v>
      </c>
      <c r="F182" s="10">
        <v>0</v>
      </c>
      <c r="G182" s="10">
        <f t="shared" si="18"/>
        <v>4430.4</v>
      </c>
      <c r="H182" s="10">
        <f t="shared" si="19"/>
        <v>354.43</v>
      </c>
      <c r="I182" s="10">
        <f t="shared" si="20"/>
        <v>4784.83</v>
      </c>
      <c r="J182" s="19">
        <f>Plan1!K53</f>
        <v>1.008969532</v>
      </c>
      <c r="K182" s="10">
        <f t="shared" si="21"/>
        <v>4827.75</v>
      </c>
      <c r="L182" s="10">
        <f t="shared" si="23"/>
        <v>16</v>
      </c>
      <c r="M182" s="10">
        <f t="shared" si="16"/>
        <v>772.44</v>
      </c>
      <c r="N182" s="11">
        <f t="shared" si="17"/>
        <v>5600.19</v>
      </c>
    </row>
    <row r="183" spans="1:14" ht="10.5" customHeight="1">
      <c r="A183" s="142">
        <v>41456</v>
      </c>
      <c r="B183" s="259"/>
      <c r="C183" s="321">
        <f>'01'!F240</f>
        <v>4578.08</v>
      </c>
      <c r="D183" s="10">
        <f t="shared" si="22"/>
        <v>4578.08</v>
      </c>
      <c r="E183" s="10">
        <v>0</v>
      </c>
      <c r="F183" s="10">
        <v>0</v>
      </c>
      <c r="G183" s="10">
        <f t="shared" si="18"/>
        <v>4578.08</v>
      </c>
      <c r="H183" s="10">
        <f t="shared" si="19"/>
        <v>366.25</v>
      </c>
      <c r="I183" s="10">
        <f t="shared" si="20"/>
        <v>4944.33</v>
      </c>
      <c r="J183" s="19">
        <f>Plan1!K54</f>
        <v>1.008758701</v>
      </c>
      <c r="K183" s="10">
        <f t="shared" si="21"/>
        <v>4987.64</v>
      </c>
      <c r="L183" s="10">
        <f t="shared" si="23"/>
        <v>15</v>
      </c>
      <c r="M183" s="10">
        <f t="shared" si="16"/>
        <v>748.15</v>
      </c>
      <c r="N183" s="11">
        <f t="shared" si="17"/>
        <v>5735.79</v>
      </c>
    </row>
    <row r="184" spans="1:14" ht="10.5" customHeight="1">
      <c r="A184" s="142">
        <v>41487</v>
      </c>
      <c r="B184" s="259"/>
      <c r="C184" s="321">
        <f>'01'!F241</f>
        <v>4578.08</v>
      </c>
      <c r="D184" s="10">
        <f t="shared" si="22"/>
        <v>4578.08</v>
      </c>
      <c r="E184" s="10">
        <v>0</v>
      </c>
      <c r="F184" s="10">
        <v>0</v>
      </c>
      <c r="G184" s="10">
        <f t="shared" si="18"/>
        <v>4578.08</v>
      </c>
      <c r="H184" s="10">
        <f t="shared" si="19"/>
        <v>366.25</v>
      </c>
      <c r="I184" s="10">
        <f t="shared" si="20"/>
        <v>4944.33</v>
      </c>
      <c r="J184" s="19">
        <f>Plan1!K55</f>
        <v>1.008758701</v>
      </c>
      <c r="K184" s="10">
        <f t="shared" si="21"/>
        <v>4987.64</v>
      </c>
      <c r="L184" s="10">
        <f t="shared" si="23"/>
        <v>14</v>
      </c>
      <c r="M184" s="10">
        <f t="shared" si="16"/>
        <v>698.27</v>
      </c>
      <c r="N184" s="11">
        <f t="shared" si="17"/>
        <v>5685.91</v>
      </c>
    </row>
    <row r="185" spans="1:14" ht="10.5" customHeight="1">
      <c r="A185" s="142">
        <v>41518</v>
      </c>
      <c r="B185" s="259"/>
      <c r="C185" s="321">
        <f>'01'!F242</f>
        <v>4430.4</v>
      </c>
      <c r="D185" s="10">
        <f t="shared" si="22"/>
        <v>4430.4</v>
      </c>
      <c r="E185" s="10">
        <v>0</v>
      </c>
      <c r="F185" s="10">
        <v>0</v>
      </c>
      <c r="G185" s="10">
        <f t="shared" si="18"/>
        <v>4430.4</v>
      </c>
      <c r="H185" s="10">
        <f t="shared" si="19"/>
        <v>354.43</v>
      </c>
      <c r="I185" s="10">
        <f t="shared" si="20"/>
        <v>4784.83</v>
      </c>
      <c r="J185" s="19">
        <f>Plan1!K56</f>
        <v>1.008679016</v>
      </c>
      <c r="K185" s="10">
        <f t="shared" si="21"/>
        <v>4826.36</v>
      </c>
      <c r="L185" s="10">
        <f t="shared" si="23"/>
        <v>13</v>
      </c>
      <c r="M185" s="10">
        <f t="shared" si="16"/>
        <v>627.43</v>
      </c>
      <c r="N185" s="11">
        <f t="shared" si="17"/>
        <v>5453.79</v>
      </c>
    </row>
    <row r="186" spans="1:14" ht="10.5" customHeight="1">
      <c r="A186" s="142">
        <v>41548</v>
      </c>
      <c r="B186" s="259"/>
      <c r="C186" s="321">
        <f>'01'!F243</f>
        <v>4578.08</v>
      </c>
      <c r="D186" s="10">
        <f>C185/30*21</f>
        <v>3101.28</v>
      </c>
      <c r="E186" s="10">
        <f>D185/12*10</f>
        <v>3692</v>
      </c>
      <c r="F186" s="10">
        <f>(4430.4/12*6)*1.333333</f>
        <v>2953.6</v>
      </c>
      <c r="G186" s="10">
        <f t="shared" si="18"/>
        <v>9746.88</v>
      </c>
      <c r="H186" s="10">
        <f t="shared" si="19"/>
        <v>779.75</v>
      </c>
      <c r="I186" s="10">
        <f t="shared" si="20"/>
        <v>10526.63</v>
      </c>
      <c r="J186" s="19">
        <f>Plan1!K57</f>
        <v>1.007751884</v>
      </c>
      <c r="K186" s="10">
        <f t="shared" si="21"/>
        <v>10608.23</v>
      </c>
      <c r="L186" s="10">
        <f t="shared" si="23"/>
        <v>12</v>
      </c>
      <c r="M186" s="10">
        <f t="shared" si="16"/>
        <v>1272.99</v>
      </c>
      <c r="N186" s="11">
        <f t="shared" si="17"/>
        <v>11881.22</v>
      </c>
    </row>
    <row r="187" spans="1:14" ht="10.5" customHeight="1">
      <c r="A187" s="22"/>
      <c r="B187" s="23"/>
      <c r="C187" s="4"/>
      <c r="D187" s="4"/>
      <c r="E187" s="4"/>
      <c r="F187" s="4"/>
      <c r="G187" s="4"/>
      <c r="H187" s="4"/>
      <c r="I187" s="4"/>
      <c r="J187" s="24"/>
      <c r="K187" s="4"/>
      <c r="L187" s="4"/>
      <c r="M187" s="4"/>
      <c r="N187" s="17"/>
    </row>
    <row r="188" spans="4:14" ht="10.5" customHeight="1">
      <c r="D188" s="17"/>
      <c r="E188" s="17"/>
      <c r="F188" s="17"/>
      <c r="G188" s="257">
        <f>SUM(G23:G186)</f>
        <v>498446.95</v>
      </c>
      <c r="H188" s="257">
        <f>SUM(H24:H186)</f>
        <v>39982.84</v>
      </c>
      <c r="I188" s="257">
        <f>SUM(I23:I186)</f>
        <v>538429.79</v>
      </c>
      <c r="J188" s="3"/>
      <c r="K188" s="257">
        <f>SUM(K23:K186)</f>
        <v>576961.17</v>
      </c>
      <c r="L188" s="3"/>
      <c r="M188" s="257">
        <f>SUM(M23:M186)</f>
        <v>457633.23</v>
      </c>
      <c r="N188" s="257">
        <f>SUM(N23:N186)</f>
        <v>1034594.4</v>
      </c>
    </row>
    <row r="189" spans="5:14" ht="10.5">
      <c r="E189" s="7"/>
      <c r="F189" s="7"/>
      <c r="G189" s="7"/>
      <c r="H189" s="7"/>
      <c r="I189" s="7"/>
      <c r="N189" s="6"/>
    </row>
    <row r="190" spans="5:14" ht="7.5" customHeight="1">
      <c r="E190" s="7"/>
      <c r="F190" s="7"/>
      <c r="G190" s="7"/>
      <c r="H190" s="7"/>
      <c r="I190" s="7"/>
      <c r="N190" s="6"/>
    </row>
    <row r="191" spans="5:14" ht="10.5">
      <c r="E191" s="7"/>
      <c r="F191" s="7"/>
      <c r="G191" s="7"/>
      <c r="H191" s="232"/>
      <c r="I191" s="232" t="s">
        <v>373</v>
      </c>
      <c r="N191" s="6"/>
    </row>
    <row r="192" spans="5:9" ht="12.75">
      <c r="E192" s="7"/>
      <c r="F192" s="7"/>
      <c r="G192" s="7"/>
      <c r="H192" s="421" t="s">
        <v>374</v>
      </c>
      <c r="I192" s="232"/>
    </row>
    <row r="193" spans="5:9" ht="10.5">
      <c r="E193" s="7"/>
      <c r="F193" s="7"/>
      <c r="G193" s="7"/>
      <c r="H193" s="7"/>
      <c r="I193" s="7"/>
    </row>
    <row r="194" spans="5:9" ht="10.5">
      <c r="E194" s="7"/>
      <c r="F194" s="7"/>
      <c r="G194" s="7"/>
      <c r="H194" s="7"/>
      <c r="I194" s="7"/>
    </row>
    <row r="195" spans="5:9" ht="10.5">
      <c r="E195" s="7"/>
      <c r="F195" s="7"/>
      <c r="G195" s="7"/>
      <c r="H195" s="7"/>
      <c r="I195" s="7"/>
    </row>
    <row r="196" spans="5:9" ht="10.5">
      <c r="E196" s="7"/>
      <c r="F196" s="7"/>
      <c r="G196" s="7"/>
      <c r="H196" s="7"/>
      <c r="I196" s="7"/>
    </row>
    <row r="197" spans="5:9" ht="10.5">
      <c r="E197" s="7"/>
      <c r="F197" s="7"/>
      <c r="G197" s="7"/>
      <c r="H197" s="7"/>
      <c r="I197" s="7"/>
    </row>
    <row r="198" spans="5:9" ht="10.5">
      <c r="E198" s="7"/>
      <c r="F198" s="7"/>
      <c r="G198" s="7"/>
      <c r="H198" s="7"/>
      <c r="I198" s="7"/>
    </row>
    <row r="199" spans="5:9" ht="10.5">
      <c r="E199" s="7"/>
      <c r="F199" s="7"/>
      <c r="G199" s="7"/>
      <c r="H199" s="7"/>
      <c r="I199" s="7"/>
    </row>
    <row r="200" spans="5:9" ht="10.5">
      <c r="E200" s="7"/>
      <c r="F200" s="7"/>
      <c r="G200" s="7"/>
      <c r="H200" s="7"/>
      <c r="I200" s="7"/>
    </row>
    <row r="201" spans="5:9" ht="10.5">
      <c r="E201" s="7"/>
      <c r="F201" s="7"/>
      <c r="G201" s="7"/>
      <c r="H201" s="7"/>
      <c r="I201" s="7"/>
    </row>
    <row r="202" spans="5:9" ht="10.5">
      <c r="E202" s="7"/>
      <c r="F202" s="7"/>
      <c r="G202" s="7"/>
      <c r="H202" s="7"/>
      <c r="I202" s="7"/>
    </row>
    <row r="203" spans="5:9" ht="10.5">
      <c r="E203" s="7"/>
      <c r="F203" s="7"/>
      <c r="G203" s="7"/>
      <c r="H203" s="7"/>
      <c r="I203" s="7"/>
    </row>
    <row r="204" spans="5:9" ht="10.5">
      <c r="E204" s="7"/>
      <c r="F204" s="7"/>
      <c r="G204" s="7"/>
      <c r="H204" s="7"/>
      <c r="I204" s="7"/>
    </row>
    <row r="205" spans="5:9" ht="10.5">
      <c r="E205" s="7"/>
      <c r="F205" s="7"/>
      <c r="G205" s="7"/>
      <c r="H205" s="7"/>
      <c r="I205" s="7"/>
    </row>
    <row r="206" spans="5:9" ht="10.5">
      <c r="E206" s="7"/>
      <c r="F206" s="7"/>
      <c r="G206" s="7"/>
      <c r="H206" s="7"/>
      <c r="I206" s="7"/>
    </row>
    <row r="207" spans="5:9" ht="10.5">
      <c r="E207" s="7"/>
      <c r="F207" s="7"/>
      <c r="G207" s="7"/>
      <c r="H207" s="7"/>
      <c r="I207" s="7"/>
    </row>
    <row r="208" spans="5:9" ht="10.5">
      <c r="E208" s="7"/>
      <c r="F208" s="7"/>
      <c r="G208" s="7"/>
      <c r="H208" s="7"/>
      <c r="I208" s="7"/>
    </row>
    <row r="209" spans="5:9" ht="10.5">
      <c r="E209" s="7"/>
      <c r="F209" s="7"/>
      <c r="G209" s="7"/>
      <c r="H209" s="7"/>
      <c r="I209" s="7"/>
    </row>
    <row r="210" spans="5:9" ht="10.5">
      <c r="E210" s="7"/>
      <c r="F210" s="7"/>
      <c r="G210" s="7"/>
      <c r="H210" s="7"/>
      <c r="I210" s="7"/>
    </row>
    <row r="211" spans="5:9" ht="10.5">
      <c r="E211" s="7"/>
      <c r="F211" s="7"/>
      <c r="G211" s="7"/>
      <c r="H211" s="7"/>
      <c r="I211" s="7"/>
    </row>
    <row r="212" spans="5:9" ht="10.5">
      <c r="E212" s="7"/>
      <c r="F212" s="7"/>
      <c r="G212" s="7"/>
      <c r="H212" s="7"/>
      <c r="I212" s="7"/>
    </row>
    <row r="213" spans="5:9" ht="10.5">
      <c r="E213" s="7"/>
      <c r="F213" s="7"/>
      <c r="G213" s="7"/>
      <c r="H213" s="7"/>
      <c r="I213" s="7"/>
    </row>
    <row r="214" spans="5:9" ht="10.5">
      <c r="E214" s="7"/>
      <c r="F214" s="7"/>
      <c r="G214" s="7"/>
      <c r="H214" s="7"/>
      <c r="I214" s="7"/>
    </row>
    <row r="215" spans="5:9" ht="10.5">
      <c r="E215" s="7"/>
      <c r="F215" s="7"/>
      <c r="G215" s="7"/>
      <c r="H215" s="7"/>
      <c r="I215" s="7"/>
    </row>
    <row r="216" spans="5:9" ht="10.5">
      <c r="E216" s="7"/>
      <c r="F216" s="7"/>
      <c r="G216" s="7"/>
      <c r="H216" s="7"/>
      <c r="I216" s="7"/>
    </row>
    <row r="217" spans="5:9" ht="10.5">
      <c r="E217" s="7"/>
      <c r="F217" s="7"/>
      <c r="G217" s="7"/>
      <c r="H217" s="7"/>
      <c r="I217" s="7"/>
    </row>
    <row r="218" spans="5:9" ht="10.5">
      <c r="E218" s="7"/>
      <c r="F218" s="7"/>
      <c r="G218" s="7"/>
      <c r="H218" s="7"/>
      <c r="I218" s="7"/>
    </row>
    <row r="219" spans="5:9" ht="10.5">
      <c r="E219" s="7"/>
      <c r="F219" s="7"/>
      <c r="G219" s="7"/>
      <c r="H219" s="7"/>
      <c r="I219" s="7"/>
    </row>
    <row r="220" spans="5:9" ht="10.5">
      <c r="E220" s="7"/>
      <c r="F220" s="7"/>
      <c r="G220" s="7"/>
      <c r="H220" s="7"/>
      <c r="I220" s="7"/>
    </row>
    <row r="221" spans="5:9" ht="10.5">
      <c r="E221" s="7"/>
      <c r="F221" s="7"/>
      <c r="G221" s="7"/>
      <c r="H221" s="7"/>
      <c r="I221" s="7"/>
    </row>
    <row r="222" spans="5:9" ht="10.5">
      <c r="E222" s="7"/>
      <c r="F222" s="7"/>
      <c r="G222" s="7"/>
      <c r="H222" s="7"/>
      <c r="I222" s="7"/>
    </row>
    <row r="223" spans="5:9" ht="10.5">
      <c r="E223" s="7"/>
      <c r="F223" s="7"/>
      <c r="G223" s="7"/>
      <c r="H223" s="7"/>
      <c r="I223" s="7"/>
    </row>
    <row r="224" spans="5:9" ht="10.5">
      <c r="E224" s="7"/>
      <c r="F224" s="7"/>
      <c r="G224" s="7"/>
      <c r="H224" s="7"/>
      <c r="I224" s="7"/>
    </row>
    <row r="225" spans="5:9" ht="10.5">
      <c r="E225" s="7"/>
      <c r="F225" s="7"/>
      <c r="G225" s="7"/>
      <c r="H225" s="7"/>
      <c r="I225" s="7"/>
    </row>
    <row r="226" spans="5:9" ht="10.5">
      <c r="E226" s="7"/>
      <c r="F226" s="7"/>
      <c r="G226" s="7"/>
      <c r="H226" s="7"/>
      <c r="I226" s="7"/>
    </row>
    <row r="227" spans="5:9" ht="10.5">
      <c r="E227" s="7"/>
      <c r="F227" s="7"/>
      <c r="G227" s="7"/>
      <c r="H227" s="7"/>
      <c r="I227" s="7"/>
    </row>
    <row r="228" spans="5:9" ht="10.5">
      <c r="E228" s="7"/>
      <c r="F228" s="7"/>
      <c r="G228" s="7"/>
      <c r="H228" s="7"/>
      <c r="I228" s="7"/>
    </row>
    <row r="229" spans="5:9" ht="10.5">
      <c r="E229" s="7"/>
      <c r="F229" s="7"/>
      <c r="G229" s="7"/>
      <c r="H229" s="7"/>
      <c r="I229" s="7"/>
    </row>
    <row r="230" spans="5:9" ht="10.5">
      <c r="E230" s="7"/>
      <c r="F230" s="7"/>
      <c r="G230" s="7"/>
      <c r="H230" s="7"/>
      <c r="I230" s="7"/>
    </row>
    <row r="231" spans="5:9" ht="10.5">
      <c r="E231" s="7"/>
      <c r="F231" s="7"/>
      <c r="G231" s="7"/>
      <c r="H231" s="7"/>
      <c r="I231" s="7"/>
    </row>
    <row r="232" spans="5:9" ht="10.5">
      <c r="E232" s="7"/>
      <c r="F232" s="7"/>
      <c r="G232" s="7"/>
      <c r="H232" s="7"/>
      <c r="I232" s="7"/>
    </row>
    <row r="233" spans="5:9" ht="10.5">
      <c r="E233" s="7"/>
      <c r="F233" s="7"/>
      <c r="G233" s="7"/>
      <c r="H233" s="7"/>
      <c r="I233" s="7"/>
    </row>
    <row r="234" spans="5:9" ht="10.5">
      <c r="E234" s="7"/>
      <c r="F234" s="7"/>
      <c r="G234" s="7"/>
      <c r="H234" s="7"/>
      <c r="I234" s="7"/>
    </row>
    <row r="235" spans="5:9" ht="10.5">
      <c r="E235" s="7"/>
      <c r="F235" s="7"/>
      <c r="G235" s="7"/>
      <c r="H235" s="7"/>
      <c r="I235" s="7"/>
    </row>
    <row r="236" spans="5:9" ht="10.5">
      <c r="E236" s="7"/>
      <c r="F236" s="7"/>
      <c r="G236" s="7"/>
      <c r="H236" s="7"/>
      <c r="I236" s="7"/>
    </row>
    <row r="237" spans="5:9" ht="10.5">
      <c r="E237" s="7"/>
      <c r="F237" s="7"/>
      <c r="G237" s="7"/>
      <c r="H237" s="7"/>
      <c r="I237" s="7"/>
    </row>
    <row r="238" spans="5:9" ht="10.5">
      <c r="E238" s="7"/>
      <c r="F238" s="7"/>
      <c r="G238" s="7"/>
      <c r="H238" s="7"/>
      <c r="I238" s="7"/>
    </row>
    <row r="239" spans="5:9" ht="10.5">
      <c r="E239" s="7"/>
      <c r="F239" s="7"/>
      <c r="G239" s="7"/>
      <c r="H239" s="7"/>
      <c r="I239" s="7"/>
    </row>
    <row r="240" spans="5:9" ht="10.5">
      <c r="E240" s="7"/>
      <c r="F240" s="7"/>
      <c r="G240" s="7"/>
      <c r="H240" s="7"/>
      <c r="I240" s="7"/>
    </row>
    <row r="241" spans="5:9" ht="10.5">
      <c r="E241" s="7"/>
      <c r="F241" s="7"/>
      <c r="G241" s="7"/>
      <c r="H241" s="7"/>
      <c r="I241" s="7"/>
    </row>
    <row r="242" spans="5:9" ht="10.5">
      <c r="E242" s="7"/>
      <c r="F242" s="7"/>
      <c r="G242" s="7"/>
      <c r="H242" s="7"/>
      <c r="I242" s="7"/>
    </row>
  </sheetData>
  <sheetProtection/>
  <hyperlinks>
    <hyperlink ref="H192" r:id="rId1" display="www.sentenca.com.br"/>
  </hyperlinks>
  <printOptions/>
  <pageMargins left="0.7874015748031497" right="0.4724409448818898" top="0.7874015748031497" bottom="0.5905511811023623" header="0.11811023622047245" footer="0.5118110236220472"/>
  <pageSetup horizontalDpi="600" verticalDpi="600" orientation="landscape" paperSize="9" r:id="rId2"/>
  <headerFooter alignWithMargins="0">
    <oddHeader>&amp;R
&amp;"Tahoma,Normal"&amp;8Anexo: 02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K75" sqref="K75"/>
    </sheetView>
  </sheetViews>
  <sheetFormatPr defaultColWidth="9.140625" defaultRowHeight="12.75"/>
  <cols>
    <col min="1" max="1" width="7.00390625" style="38" customWidth="1"/>
    <col min="2" max="2" width="8.8515625" style="38" customWidth="1"/>
    <col min="3" max="3" width="7.8515625" style="38" customWidth="1"/>
    <col min="4" max="4" width="7.00390625" style="38" customWidth="1"/>
    <col min="5" max="5" width="6.7109375" style="38" customWidth="1"/>
    <col min="6" max="6" width="7.7109375" style="38" customWidth="1"/>
    <col min="7" max="7" width="6.8515625" style="38" customWidth="1"/>
    <col min="8" max="8" width="8.00390625" style="38" customWidth="1"/>
    <col min="9" max="9" width="11.00390625" style="38" customWidth="1"/>
    <col min="10" max="10" width="9.57421875" style="38" customWidth="1"/>
    <col min="11" max="11" width="8.00390625" style="38" customWidth="1"/>
    <col min="12" max="12" width="8.7109375" style="38" customWidth="1"/>
    <col min="13" max="13" width="10.140625" style="42" customWidth="1"/>
    <col min="14" max="14" width="8.140625" style="42" customWidth="1"/>
    <col min="15" max="15" width="11.7109375" style="42" customWidth="1"/>
    <col min="16" max="16" width="8.28125" style="42" customWidth="1"/>
    <col min="17" max="17" width="9.8515625" style="42" customWidth="1"/>
    <col min="18" max="18" width="9.140625" style="38" customWidth="1"/>
    <col min="19" max="19" width="13.00390625" style="38" customWidth="1"/>
    <col min="20" max="20" width="9.140625" style="38" customWidth="1"/>
    <col min="21" max="21" width="10.57421875" style="38" customWidth="1"/>
    <col min="22" max="16384" width="9.140625" style="38" customWidth="1"/>
  </cols>
  <sheetData>
    <row r="1" spans="1:4" s="420" customFormat="1" ht="14.25" customHeight="1">
      <c r="A1" s="419" t="s">
        <v>389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spans="1:17" s="95" customFormat="1" ht="10.5">
      <c r="A4" s="40" t="s">
        <v>311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84"/>
      <c r="M4" s="42"/>
      <c r="N4" s="42"/>
      <c r="O4" s="42"/>
      <c r="P4" s="42"/>
      <c r="Q4" s="42"/>
    </row>
    <row r="5" spans="1:17" s="205" customFormat="1" ht="10.5">
      <c r="A5" s="41" t="s">
        <v>388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261"/>
      <c r="M5" s="262"/>
      <c r="N5" s="262"/>
      <c r="O5" s="262"/>
      <c r="P5" s="262"/>
      <c r="Q5" s="262"/>
    </row>
    <row r="6" spans="1:12" ht="10.5" customHeight="1">
      <c r="A6" s="260"/>
      <c r="B6" s="40"/>
      <c r="C6" s="40"/>
      <c r="D6" s="40"/>
      <c r="E6" s="40"/>
      <c r="F6" s="40"/>
      <c r="G6" s="40"/>
      <c r="H6" s="40"/>
      <c r="I6" s="40"/>
      <c r="J6" s="40"/>
      <c r="K6" s="40"/>
      <c r="L6" s="126"/>
    </row>
    <row r="7" spans="1:5" s="1" customFormat="1" ht="10.5" customHeight="1">
      <c r="A7" s="1" t="s">
        <v>367</v>
      </c>
      <c r="B7" s="181"/>
      <c r="C7" s="181"/>
      <c r="D7" s="181"/>
      <c r="E7" s="339"/>
    </row>
    <row r="8" spans="1:5" s="1" customFormat="1" ht="10.5" customHeight="1">
      <c r="A8" s="1" t="s">
        <v>368</v>
      </c>
      <c r="B8" s="181"/>
      <c r="C8" s="181"/>
      <c r="D8" s="181"/>
      <c r="E8" s="339"/>
    </row>
    <row r="9" spans="1:5" s="2" customFormat="1" ht="10.5" customHeight="1">
      <c r="A9" s="2" t="s">
        <v>375</v>
      </c>
      <c r="B9" s="422"/>
      <c r="C9" s="422"/>
      <c r="D9" s="422"/>
      <c r="E9" s="423"/>
    </row>
    <row r="10" spans="1:5" s="1" customFormat="1" ht="10.5" customHeight="1">
      <c r="A10" s="1" t="s">
        <v>359</v>
      </c>
      <c r="B10" s="181"/>
      <c r="C10" s="181"/>
      <c r="D10" s="181"/>
      <c r="E10" s="181"/>
    </row>
    <row r="11" spans="1:17" s="95" customFormat="1" ht="14.25" customHeight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184"/>
      <c r="M11" s="42"/>
      <c r="N11" s="42"/>
      <c r="O11" s="42"/>
      <c r="P11" s="42"/>
      <c r="Q11" s="42"/>
    </row>
    <row r="12" spans="1:17" s="95" customFormat="1" ht="12" thickBot="1" thickTop="1">
      <c r="A12" s="43" t="s">
        <v>1</v>
      </c>
      <c r="B12" s="44" t="s">
        <v>2</v>
      </c>
      <c r="C12" s="44" t="s">
        <v>3</v>
      </c>
      <c r="D12" s="44" t="s">
        <v>4</v>
      </c>
      <c r="E12" s="44" t="s">
        <v>5</v>
      </c>
      <c r="F12" s="44" t="s">
        <v>6</v>
      </c>
      <c r="G12" s="44" t="s">
        <v>7</v>
      </c>
      <c r="H12" s="44" t="s">
        <v>8</v>
      </c>
      <c r="I12" s="44" t="s">
        <v>13</v>
      </c>
      <c r="J12" s="44" t="s">
        <v>48</v>
      </c>
      <c r="K12" s="44" t="s">
        <v>49</v>
      </c>
      <c r="L12" s="263" t="s">
        <v>50</v>
      </c>
      <c r="M12" s="263" t="s">
        <v>159</v>
      </c>
      <c r="N12" s="263" t="s">
        <v>160</v>
      </c>
      <c r="O12" s="263" t="s">
        <v>161</v>
      </c>
      <c r="P12" s="263" t="s">
        <v>199</v>
      </c>
      <c r="Q12" s="263" t="s">
        <v>238</v>
      </c>
    </row>
    <row r="13" spans="1:17" s="95" customFormat="1" ht="12" thickBot="1" thickTop="1">
      <c r="A13" s="26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2"/>
      <c r="N13" s="42"/>
      <c r="O13" s="42"/>
      <c r="P13" s="42"/>
      <c r="Q13" s="42"/>
    </row>
    <row r="14" spans="1:17" s="95" customFormat="1" ht="10.5" customHeight="1" thickTop="1">
      <c r="A14" s="265" t="s">
        <v>9</v>
      </c>
      <c r="B14" s="301" t="s">
        <v>10</v>
      </c>
      <c r="C14" s="302" t="s">
        <v>200</v>
      </c>
      <c r="D14" s="302" t="s">
        <v>55</v>
      </c>
      <c r="E14" s="128" t="s">
        <v>56</v>
      </c>
      <c r="F14" s="128" t="s">
        <v>57</v>
      </c>
      <c r="G14" s="128" t="s">
        <v>201</v>
      </c>
      <c r="H14" s="128" t="s">
        <v>58</v>
      </c>
      <c r="I14" s="128" t="s">
        <v>202</v>
      </c>
      <c r="J14" s="128" t="s">
        <v>203</v>
      </c>
      <c r="K14" s="128" t="s">
        <v>186</v>
      </c>
      <c r="L14" s="128" t="s">
        <v>14</v>
      </c>
      <c r="M14" s="47" t="s">
        <v>11</v>
      </c>
      <c r="N14" s="47" t="s">
        <v>15</v>
      </c>
      <c r="O14" s="47" t="s">
        <v>52</v>
      </c>
      <c r="P14" s="47" t="s">
        <v>17</v>
      </c>
      <c r="Q14" s="266" t="s">
        <v>18</v>
      </c>
    </row>
    <row r="15" spans="1:17" s="95" customFormat="1" ht="11.25" customHeight="1">
      <c r="A15" s="267"/>
      <c r="B15" s="303" t="s">
        <v>204</v>
      </c>
      <c r="C15" s="304" t="s">
        <v>205</v>
      </c>
      <c r="D15" s="304" t="s">
        <v>154</v>
      </c>
      <c r="E15" s="130" t="s">
        <v>10</v>
      </c>
      <c r="F15" s="268" t="s">
        <v>60</v>
      </c>
      <c r="G15" s="268" t="s">
        <v>206</v>
      </c>
      <c r="H15" s="130"/>
      <c r="I15" s="130" t="s">
        <v>207</v>
      </c>
      <c r="J15" s="130" t="s">
        <v>208</v>
      </c>
      <c r="K15" s="130" t="s">
        <v>209</v>
      </c>
      <c r="L15" s="130" t="s">
        <v>210</v>
      </c>
      <c r="M15" s="50" t="s">
        <v>20</v>
      </c>
      <c r="N15" s="50" t="s">
        <v>14</v>
      </c>
      <c r="O15" s="50" t="s">
        <v>25</v>
      </c>
      <c r="P15" s="50" t="s">
        <v>21</v>
      </c>
      <c r="Q15" s="269" t="s">
        <v>22</v>
      </c>
    </row>
    <row r="16" spans="1:17" s="95" customFormat="1" ht="12" customHeight="1">
      <c r="A16" s="267"/>
      <c r="B16" s="303" t="s">
        <v>211</v>
      </c>
      <c r="C16" s="270"/>
      <c r="D16" s="270" t="s">
        <v>237</v>
      </c>
      <c r="E16" s="130"/>
      <c r="F16" s="130" t="s">
        <v>303</v>
      </c>
      <c r="G16" s="130"/>
      <c r="H16" s="130"/>
      <c r="I16" s="130" t="s">
        <v>212</v>
      </c>
      <c r="J16" s="130" t="s">
        <v>212</v>
      </c>
      <c r="K16" s="130" t="s">
        <v>213</v>
      </c>
      <c r="L16" s="130" t="s">
        <v>214</v>
      </c>
      <c r="M16" s="50" t="s">
        <v>23</v>
      </c>
      <c r="N16" s="50" t="s">
        <v>24</v>
      </c>
      <c r="O16" s="229" t="s">
        <v>27</v>
      </c>
      <c r="P16" s="50" t="s">
        <v>16</v>
      </c>
      <c r="Q16" s="269" t="s">
        <v>304</v>
      </c>
    </row>
    <row r="17" spans="1:17" s="95" customFormat="1" ht="11.25" customHeight="1">
      <c r="A17" s="267"/>
      <c r="B17" s="303" t="s">
        <v>215</v>
      </c>
      <c r="C17" s="304"/>
      <c r="D17" s="304" t="s">
        <v>386</v>
      </c>
      <c r="E17" s="130"/>
      <c r="F17" s="130" t="s">
        <v>302</v>
      </c>
      <c r="G17" s="130"/>
      <c r="H17" s="130"/>
      <c r="I17" s="130" t="s">
        <v>216</v>
      </c>
      <c r="J17" s="130"/>
      <c r="K17" s="130"/>
      <c r="L17" s="130" t="s">
        <v>213</v>
      </c>
      <c r="M17" s="50" t="s">
        <v>26</v>
      </c>
      <c r="N17" s="50"/>
      <c r="O17" s="230" t="s">
        <v>28</v>
      </c>
      <c r="P17" s="50"/>
      <c r="Q17" s="272" t="s">
        <v>305</v>
      </c>
    </row>
    <row r="18" spans="1:17" s="95" customFormat="1" ht="11.25" customHeight="1">
      <c r="A18" s="267"/>
      <c r="B18" s="303" t="s">
        <v>236</v>
      </c>
      <c r="C18" s="304"/>
      <c r="D18" s="304" t="s">
        <v>21</v>
      </c>
      <c r="E18" s="130"/>
      <c r="F18" s="130" t="s">
        <v>301</v>
      </c>
      <c r="G18" s="130"/>
      <c r="H18" s="359" t="s">
        <v>217</v>
      </c>
      <c r="I18" s="130" t="s">
        <v>387</v>
      </c>
      <c r="J18" s="130"/>
      <c r="K18" s="130"/>
      <c r="L18" s="130"/>
      <c r="M18" s="363">
        <v>41944</v>
      </c>
      <c r="N18" s="50"/>
      <c r="O18" s="230" t="s">
        <v>358</v>
      </c>
      <c r="P18" s="50"/>
      <c r="Q18" s="361">
        <v>41944</v>
      </c>
    </row>
    <row r="19" spans="1:19" s="95" customFormat="1" ht="11.25" thickBot="1">
      <c r="A19" s="273"/>
      <c r="B19" s="305" t="s">
        <v>386</v>
      </c>
      <c r="C19" s="274"/>
      <c r="D19" s="274" t="s">
        <v>219</v>
      </c>
      <c r="E19" s="185"/>
      <c r="F19" s="185"/>
      <c r="G19" s="185"/>
      <c r="H19" s="357" t="s">
        <v>218</v>
      </c>
      <c r="I19" s="185" t="s">
        <v>219</v>
      </c>
      <c r="J19" s="185" t="s">
        <v>289</v>
      </c>
      <c r="K19" s="358" t="s">
        <v>288</v>
      </c>
      <c r="L19" s="357" t="s">
        <v>287</v>
      </c>
      <c r="M19" s="54"/>
      <c r="N19" s="356" t="s">
        <v>286</v>
      </c>
      <c r="O19" s="231" t="s">
        <v>156</v>
      </c>
      <c r="P19" s="356" t="s">
        <v>285</v>
      </c>
      <c r="Q19" s="362" t="s">
        <v>220</v>
      </c>
      <c r="S19" s="275" t="s">
        <v>171</v>
      </c>
    </row>
    <row r="20" spans="1:17" s="95" customFormat="1" ht="11.25" thickTop="1">
      <c r="A20" s="276"/>
      <c r="B20" s="277"/>
      <c r="C20" s="278"/>
      <c r="D20" s="278"/>
      <c r="E20" s="279"/>
      <c r="F20" s="279"/>
      <c r="G20" s="279"/>
      <c r="H20" s="279"/>
      <c r="I20" s="279"/>
      <c r="J20" s="279"/>
      <c r="K20" s="184"/>
      <c r="L20" s="184"/>
      <c r="M20" s="280"/>
      <c r="N20" s="281"/>
      <c r="O20" s="282"/>
      <c r="P20" s="281"/>
      <c r="Q20" s="281"/>
    </row>
    <row r="21" spans="1:19" s="95" customFormat="1" ht="10.5">
      <c r="A21" s="132">
        <v>34790</v>
      </c>
      <c r="B21" s="283">
        <v>70</v>
      </c>
      <c r="C21" s="283" t="s">
        <v>276</v>
      </c>
      <c r="D21" s="283">
        <v>0</v>
      </c>
      <c r="E21" s="283">
        <v>0</v>
      </c>
      <c r="F21" s="283">
        <v>0</v>
      </c>
      <c r="G21" s="283">
        <v>0</v>
      </c>
      <c r="H21" s="283">
        <v>0</v>
      </c>
      <c r="I21" s="284">
        <v>20</v>
      </c>
      <c r="J21" s="283">
        <f>H21*I21%</f>
        <v>0</v>
      </c>
      <c r="K21" s="283">
        <f>J21*11.2%</f>
        <v>0</v>
      </c>
      <c r="L21" s="283">
        <f>J21+K21</f>
        <v>0</v>
      </c>
      <c r="M21" s="56">
        <f>Plan1!D38</f>
        <v>2.10712201</v>
      </c>
      <c r="N21" s="285">
        <f aca="true" t="shared" si="0" ref="N21:N63">L21*M21</f>
        <v>0</v>
      </c>
      <c r="O21" s="286">
        <f>8+12+12+12+12+12+12+12+12+12+12+12+12+12+10</f>
        <v>174</v>
      </c>
      <c r="P21" s="285">
        <f aca="true" t="shared" si="1" ref="P21:P63">(N21*O21%)</f>
        <v>0</v>
      </c>
      <c r="Q21" s="287">
        <f aca="true" t="shared" si="2" ref="Q21:Q63">N21+P21</f>
        <v>0</v>
      </c>
      <c r="S21" s="208">
        <f>K21*M21</f>
        <v>0</v>
      </c>
    </row>
    <row r="22" spans="1:19" s="95" customFormat="1" ht="10.5">
      <c r="A22" s="132">
        <v>34820</v>
      </c>
      <c r="B22" s="283">
        <v>100</v>
      </c>
      <c r="C22" s="283">
        <f>B22/30*29</f>
        <v>96.67</v>
      </c>
      <c r="D22" s="283">
        <v>0</v>
      </c>
      <c r="E22" s="283">
        <v>0</v>
      </c>
      <c r="F22" s="283">
        <v>0</v>
      </c>
      <c r="G22" s="283">
        <v>0</v>
      </c>
      <c r="H22" s="283">
        <f aca="true" t="shared" si="3" ref="H22:H63">C22+D22+E22+F22+G22</f>
        <v>96.67</v>
      </c>
      <c r="I22" s="284">
        <v>20</v>
      </c>
      <c r="J22" s="283">
        <f aca="true" t="shared" si="4" ref="J22:J63">H22*I22%</f>
        <v>19.33</v>
      </c>
      <c r="K22" s="283">
        <f aca="true" t="shared" si="5" ref="K22:K63">J22*11.2%</f>
        <v>2.16</v>
      </c>
      <c r="L22" s="283">
        <f aca="true" t="shared" si="6" ref="L22:L63">J22+K22</f>
        <v>21.49</v>
      </c>
      <c r="M22" s="56">
        <f>Plan1!D39</f>
        <v>2.04085346</v>
      </c>
      <c r="N22" s="285">
        <f t="shared" si="0"/>
        <v>43.86</v>
      </c>
      <c r="O22" s="286">
        <f aca="true" t="shared" si="7" ref="O22:O63">O21</f>
        <v>174</v>
      </c>
      <c r="P22" s="285">
        <f t="shared" si="1"/>
        <v>76.32</v>
      </c>
      <c r="Q22" s="287">
        <f t="shared" si="2"/>
        <v>120.18</v>
      </c>
      <c r="S22" s="208">
        <f aca="true" t="shared" si="8" ref="S22:S63">K22*M22</f>
        <v>4.41</v>
      </c>
    </row>
    <row r="23" spans="1:19" s="95" customFormat="1" ht="10.5">
      <c r="A23" s="132">
        <v>34851</v>
      </c>
      <c r="B23" s="283">
        <v>100</v>
      </c>
      <c r="C23" s="283">
        <f aca="true" t="shared" si="9" ref="C23:C61">B23</f>
        <v>100</v>
      </c>
      <c r="D23" s="283">
        <v>0</v>
      </c>
      <c r="E23" s="283">
        <v>0</v>
      </c>
      <c r="F23" s="283">
        <v>0</v>
      </c>
      <c r="G23" s="283">
        <v>0</v>
      </c>
      <c r="H23" s="283">
        <f t="shared" si="3"/>
        <v>100</v>
      </c>
      <c r="I23" s="284">
        <v>20</v>
      </c>
      <c r="J23" s="283">
        <f t="shared" si="4"/>
        <v>20</v>
      </c>
      <c r="K23" s="283">
        <f t="shared" si="5"/>
        <v>2.24</v>
      </c>
      <c r="L23" s="283">
        <f t="shared" si="6"/>
        <v>22.24</v>
      </c>
      <c r="M23" s="56">
        <f>Plan1!D40</f>
        <v>1.98360079</v>
      </c>
      <c r="N23" s="285">
        <f t="shared" si="0"/>
        <v>44.12</v>
      </c>
      <c r="O23" s="286">
        <f t="shared" si="7"/>
        <v>174</v>
      </c>
      <c r="P23" s="285">
        <f t="shared" si="1"/>
        <v>76.77</v>
      </c>
      <c r="Q23" s="287">
        <f t="shared" si="2"/>
        <v>120.89</v>
      </c>
      <c r="S23" s="208">
        <f t="shared" si="8"/>
        <v>4.44</v>
      </c>
    </row>
    <row r="24" spans="1:19" s="95" customFormat="1" ht="10.5">
      <c r="A24" s="132">
        <v>34881</v>
      </c>
      <c r="B24" s="283">
        <v>100</v>
      </c>
      <c r="C24" s="283">
        <f t="shared" si="9"/>
        <v>100</v>
      </c>
      <c r="D24" s="283">
        <v>0</v>
      </c>
      <c r="E24" s="283">
        <v>0</v>
      </c>
      <c r="F24" s="283">
        <v>0</v>
      </c>
      <c r="G24" s="283">
        <v>0</v>
      </c>
      <c r="H24" s="283">
        <f t="shared" si="3"/>
        <v>100</v>
      </c>
      <c r="I24" s="284">
        <v>20</v>
      </c>
      <c r="J24" s="283">
        <f t="shared" si="4"/>
        <v>20</v>
      </c>
      <c r="K24" s="283">
        <f t="shared" si="5"/>
        <v>2.24</v>
      </c>
      <c r="L24" s="283">
        <f t="shared" si="6"/>
        <v>22.24</v>
      </c>
      <c r="M24" s="56">
        <f>Plan1!D41</f>
        <v>1.92600365</v>
      </c>
      <c r="N24" s="285">
        <f t="shared" si="0"/>
        <v>42.83</v>
      </c>
      <c r="O24" s="286">
        <f t="shared" si="7"/>
        <v>174</v>
      </c>
      <c r="P24" s="285">
        <f t="shared" si="1"/>
        <v>74.52</v>
      </c>
      <c r="Q24" s="287">
        <f t="shared" si="2"/>
        <v>117.35</v>
      </c>
      <c r="S24" s="208">
        <f t="shared" si="8"/>
        <v>4.31</v>
      </c>
    </row>
    <row r="25" spans="1:19" s="95" customFormat="1" ht="10.5">
      <c r="A25" s="132">
        <v>34912</v>
      </c>
      <c r="B25" s="283">
        <v>100</v>
      </c>
      <c r="C25" s="283">
        <f t="shared" si="9"/>
        <v>100</v>
      </c>
      <c r="D25" s="283">
        <v>0</v>
      </c>
      <c r="E25" s="283">
        <v>0</v>
      </c>
      <c r="F25" s="283">
        <v>0</v>
      </c>
      <c r="G25" s="283">
        <v>0</v>
      </c>
      <c r="H25" s="283">
        <f t="shared" si="3"/>
        <v>100</v>
      </c>
      <c r="I25" s="284">
        <v>20</v>
      </c>
      <c r="J25" s="283">
        <f t="shared" si="4"/>
        <v>20</v>
      </c>
      <c r="K25" s="283">
        <f t="shared" si="5"/>
        <v>2.24</v>
      </c>
      <c r="L25" s="283">
        <f t="shared" si="6"/>
        <v>22.24</v>
      </c>
      <c r="M25" s="56">
        <f>Plan1!D42</f>
        <v>1.87711421</v>
      </c>
      <c r="N25" s="285">
        <f t="shared" si="0"/>
        <v>41.75</v>
      </c>
      <c r="O25" s="286">
        <f t="shared" si="7"/>
        <v>174</v>
      </c>
      <c r="P25" s="285">
        <f t="shared" si="1"/>
        <v>72.65</v>
      </c>
      <c r="Q25" s="287">
        <f t="shared" si="2"/>
        <v>114.4</v>
      </c>
      <c r="S25" s="208">
        <f t="shared" si="8"/>
        <v>4.2</v>
      </c>
    </row>
    <row r="26" spans="1:19" s="95" customFormat="1" ht="10.5">
      <c r="A26" s="132">
        <v>34943</v>
      </c>
      <c r="B26" s="283">
        <v>100</v>
      </c>
      <c r="C26" s="283">
        <f t="shared" si="9"/>
        <v>100</v>
      </c>
      <c r="D26" s="283">
        <v>0</v>
      </c>
      <c r="E26" s="283">
        <v>0</v>
      </c>
      <c r="F26" s="283">
        <v>0</v>
      </c>
      <c r="G26" s="283">
        <v>0</v>
      </c>
      <c r="H26" s="283">
        <f t="shared" si="3"/>
        <v>100</v>
      </c>
      <c r="I26" s="284">
        <v>20</v>
      </c>
      <c r="J26" s="283">
        <f t="shared" si="4"/>
        <v>20</v>
      </c>
      <c r="K26" s="283">
        <f t="shared" si="5"/>
        <v>2.24</v>
      </c>
      <c r="L26" s="283">
        <f t="shared" si="6"/>
        <v>22.24</v>
      </c>
      <c r="M26" s="56">
        <f>Plan1!D43</f>
        <v>1.84140386</v>
      </c>
      <c r="N26" s="285">
        <f t="shared" si="0"/>
        <v>40.95</v>
      </c>
      <c r="O26" s="286">
        <f t="shared" si="7"/>
        <v>174</v>
      </c>
      <c r="P26" s="285">
        <f t="shared" si="1"/>
        <v>71.25</v>
      </c>
      <c r="Q26" s="287">
        <f t="shared" si="2"/>
        <v>112.2</v>
      </c>
      <c r="S26" s="208">
        <f t="shared" si="8"/>
        <v>4.12</v>
      </c>
    </row>
    <row r="27" spans="1:19" s="95" customFormat="1" ht="10.5">
      <c r="A27" s="132">
        <v>34973</v>
      </c>
      <c r="B27" s="283">
        <v>100</v>
      </c>
      <c r="C27" s="283">
        <f t="shared" si="9"/>
        <v>100</v>
      </c>
      <c r="D27" s="283">
        <v>0</v>
      </c>
      <c r="E27" s="283">
        <v>0</v>
      </c>
      <c r="F27" s="283">
        <v>0</v>
      </c>
      <c r="G27" s="283">
        <v>0</v>
      </c>
      <c r="H27" s="283">
        <f t="shared" si="3"/>
        <v>100</v>
      </c>
      <c r="I27" s="284">
        <v>20</v>
      </c>
      <c r="J27" s="283">
        <f t="shared" si="4"/>
        <v>20</v>
      </c>
      <c r="K27" s="283">
        <f t="shared" si="5"/>
        <v>2.24</v>
      </c>
      <c r="L27" s="283">
        <f t="shared" si="6"/>
        <v>22.24</v>
      </c>
      <c r="M27" s="56">
        <f>Plan1!D44</f>
        <v>1.8114426</v>
      </c>
      <c r="N27" s="285">
        <f t="shared" si="0"/>
        <v>40.29</v>
      </c>
      <c r="O27" s="286">
        <f t="shared" si="7"/>
        <v>174</v>
      </c>
      <c r="P27" s="285">
        <f t="shared" si="1"/>
        <v>70.1</v>
      </c>
      <c r="Q27" s="287">
        <f t="shared" si="2"/>
        <v>110.39</v>
      </c>
      <c r="S27" s="208">
        <f t="shared" si="8"/>
        <v>4.06</v>
      </c>
    </row>
    <row r="28" spans="1:19" s="95" customFormat="1" ht="10.5">
      <c r="A28" s="132">
        <v>35004</v>
      </c>
      <c r="B28" s="283">
        <v>100</v>
      </c>
      <c r="C28" s="283">
        <f t="shared" si="9"/>
        <v>100</v>
      </c>
      <c r="D28" s="283">
        <v>0</v>
      </c>
      <c r="E28" s="283">
        <v>0</v>
      </c>
      <c r="F28" s="283">
        <v>0</v>
      </c>
      <c r="G28" s="283">
        <v>0</v>
      </c>
      <c r="H28" s="283">
        <f t="shared" si="3"/>
        <v>100</v>
      </c>
      <c r="I28" s="284">
        <v>20</v>
      </c>
      <c r="J28" s="283">
        <f t="shared" si="4"/>
        <v>20</v>
      </c>
      <c r="K28" s="283">
        <f t="shared" si="5"/>
        <v>2.24</v>
      </c>
      <c r="L28" s="283">
        <f t="shared" si="6"/>
        <v>22.24</v>
      </c>
      <c r="M28" s="56">
        <f>Plan1!D45</f>
        <v>1.785751</v>
      </c>
      <c r="N28" s="285">
        <f t="shared" si="0"/>
        <v>39.72</v>
      </c>
      <c r="O28" s="286">
        <f t="shared" si="7"/>
        <v>174</v>
      </c>
      <c r="P28" s="285">
        <f t="shared" si="1"/>
        <v>69.11</v>
      </c>
      <c r="Q28" s="287">
        <f t="shared" si="2"/>
        <v>108.83</v>
      </c>
      <c r="S28" s="208">
        <f t="shared" si="8"/>
        <v>4</v>
      </c>
    </row>
    <row r="29" spans="1:19" s="95" customFormat="1" ht="10.5">
      <c r="A29" s="132">
        <v>35034</v>
      </c>
      <c r="B29" s="283">
        <v>100</v>
      </c>
      <c r="C29" s="283">
        <f>B29/30*18</f>
        <v>60</v>
      </c>
      <c r="D29" s="283">
        <v>0</v>
      </c>
      <c r="E29" s="283">
        <v>0</v>
      </c>
      <c r="F29" s="283">
        <f>(C28/12*8)/30*20*1.333333</f>
        <v>59.26</v>
      </c>
      <c r="G29" s="283">
        <v>0</v>
      </c>
      <c r="H29" s="283">
        <f t="shared" si="3"/>
        <v>119.26</v>
      </c>
      <c r="I29" s="284">
        <v>20</v>
      </c>
      <c r="J29" s="283">
        <f t="shared" si="4"/>
        <v>23.85</v>
      </c>
      <c r="K29" s="283">
        <f t="shared" si="5"/>
        <v>2.67</v>
      </c>
      <c r="L29" s="283">
        <f t="shared" si="6"/>
        <v>26.52</v>
      </c>
      <c r="M29" s="56">
        <f>Plan1!E34</f>
        <v>1.76213835</v>
      </c>
      <c r="N29" s="285">
        <f t="shared" si="0"/>
        <v>46.73</v>
      </c>
      <c r="O29" s="286">
        <f t="shared" si="7"/>
        <v>174</v>
      </c>
      <c r="P29" s="285">
        <f t="shared" si="1"/>
        <v>81.31</v>
      </c>
      <c r="Q29" s="287">
        <f t="shared" si="2"/>
        <v>128.04</v>
      </c>
      <c r="S29" s="208">
        <f t="shared" si="8"/>
        <v>4.7</v>
      </c>
    </row>
    <row r="30" spans="1:19" s="95" customFormat="1" ht="10.5">
      <c r="A30" s="132">
        <v>35065</v>
      </c>
      <c r="B30" s="283">
        <v>100</v>
      </c>
      <c r="C30" s="283">
        <f>B30/2</f>
        <v>50</v>
      </c>
      <c r="D30" s="283">
        <v>0</v>
      </c>
      <c r="E30" s="283">
        <f>C30/12*8</f>
        <v>33.33</v>
      </c>
      <c r="F30" s="283">
        <v>0</v>
      </c>
      <c r="G30" s="283">
        <v>0</v>
      </c>
      <c r="H30" s="283">
        <f t="shared" si="3"/>
        <v>83.33</v>
      </c>
      <c r="I30" s="284">
        <v>20</v>
      </c>
      <c r="J30" s="283">
        <f t="shared" si="4"/>
        <v>16.67</v>
      </c>
      <c r="K30" s="283">
        <f t="shared" si="5"/>
        <v>1.87</v>
      </c>
      <c r="L30" s="283">
        <f t="shared" si="6"/>
        <v>18.54</v>
      </c>
      <c r="M30" s="56">
        <f>Plan1!E35</f>
        <v>1.74033887</v>
      </c>
      <c r="N30" s="285">
        <f t="shared" si="0"/>
        <v>32.27</v>
      </c>
      <c r="O30" s="286">
        <f t="shared" si="7"/>
        <v>174</v>
      </c>
      <c r="P30" s="285">
        <f t="shared" si="1"/>
        <v>56.15</v>
      </c>
      <c r="Q30" s="287">
        <f t="shared" si="2"/>
        <v>88.42</v>
      </c>
      <c r="S30" s="208">
        <f t="shared" si="8"/>
        <v>3.25</v>
      </c>
    </row>
    <row r="31" spans="1:19" s="95" customFormat="1" ht="10.5">
      <c r="A31" s="132">
        <v>35096</v>
      </c>
      <c r="B31" s="283">
        <v>100</v>
      </c>
      <c r="C31" s="348" t="s">
        <v>276</v>
      </c>
      <c r="D31" s="348">
        <v>0</v>
      </c>
      <c r="E31" s="348">
        <v>0</v>
      </c>
      <c r="F31" s="348">
        <v>0</v>
      </c>
      <c r="G31" s="283">
        <v>0</v>
      </c>
      <c r="H31" s="283">
        <v>0</v>
      </c>
      <c r="I31" s="284">
        <v>20</v>
      </c>
      <c r="J31" s="283">
        <f t="shared" si="4"/>
        <v>0</v>
      </c>
      <c r="K31" s="283">
        <f t="shared" si="5"/>
        <v>0</v>
      </c>
      <c r="L31" s="283">
        <f t="shared" si="6"/>
        <v>0</v>
      </c>
      <c r="M31" s="56">
        <f>Plan1!E36</f>
        <v>1.72374779</v>
      </c>
      <c r="N31" s="285">
        <f t="shared" si="0"/>
        <v>0</v>
      </c>
      <c r="O31" s="286">
        <f t="shared" si="7"/>
        <v>174</v>
      </c>
      <c r="P31" s="285">
        <f t="shared" si="1"/>
        <v>0</v>
      </c>
      <c r="Q31" s="287">
        <f t="shared" si="2"/>
        <v>0</v>
      </c>
      <c r="S31" s="208">
        <f t="shared" si="8"/>
        <v>0</v>
      </c>
    </row>
    <row r="32" spans="1:19" s="95" customFormat="1" ht="10.5">
      <c r="A32" s="132">
        <v>35125</v>
      </c>
      <c r="B32" s="283">
        <v>100</v>
      </c>
      <c r="C32" s="348" t="s">
        <v>276</v>
      </c>
      <c r="D32" s="348">
        <v>0</v>
      </c>
      <c r="E32" s="348">
        <v>0</v>
      </c>
      <c r="F32" s="348">
        <v>0</v>
      </c>
      <c r="G32" s="283">
        <v>0</v>
      </c>
      <c r="H32" s="283">
        <v>0</v>
      </c>
      <c r="I32" s="284">
        <v>20</v>
      </c>
      <c r="J32" s="283">
        <f t="shared" si="4"/>
        <v>0</v>
      </c>
      <c r="K32" s="283">
        <f t="shared" si="5"/>
        <v>0</v>
      </c>
      <c r="L32" s="283">
        <f t="shared" si="6"/>
        <v>0</v>
      </c>
      <c r="M32" s="56">
        <f>Plan1!E37</f>
        <v>1.70983147</v>
      </c>
      <c r="N32" s="285">
        <f t="shared" si="0"/>
        <v>0</v>
      </c>
      <c r="O32" s="286">
        <f t="shared" si="7"/>
        <v>174</v>
      </c>
      <c r="P32" s="285">
        <f t="shared" si="1"/>
        <v>0</v>
      </c>
      <c r="Q32" s="287">
        <f t="shared" si="2"/>
        <v>0</v>
      </c>
      <c r="S32" s="208">
        <f t="shared" si="8"/>
        <v>0</v>
      </c>
    </row>
    <row r="33" spans="1:19" s="95" customFormat="1" ht="10.5">
      <c r="A33" s="132">
        <v>35156</v>
      </c>
      <c r="B33" s="283">
        <v>100</v>
      </c>
      <c r="C33" s="348" t="s">
        <v>276</v>
      </c>
      <c r="D33" s="348">
        <v>0</v>
      </c>
      <c r="E33" s="348">
        <v>0</v>
      </c>
      <c r="F33" s="348">
        <v>0</v>
      </c>
      <c r="G33" s="283">
        <v>0</v>
      </c>
      <c r="H33" s="283">
        <v>0</v>
      </c>
      <c r="I33" s="284">
        <v>20</v>
      </c>
      <c r="J33" s="283">
        <f t="shared" si="4"/>
        <v>0</v>
      </c>
      <c r="K33" s="283">
        <f t="shared" si="5"/>
        <v>0</v>
      </c>
      <c r="L33" s="283">
        <f t="shared" si="6"/>
        <v>0</v>
      </c>
      <c r="M33" s="56">
        <f>Plan1!E38</f>
        <v>1.69862564</v>
      </c>
      <c r="N33" s="285">
        <f t="shared" si="0"/>
        <v>0</v>
      </c>
      <c r="O33" s="286">
        <f t="shared" si="7"/>
        <v>174</v>
      </c>
      <c r="P33" s="285">
        <f t="shared" si="1"/>
        <v>0</v>
      </c>
      <c r="Q33" s="287">
        <f t="shared" si="2"/>
        <v>0</v>
      </c>
      <c r="S33" s="208">
        <f t="shared" si="8"/>
        <v>0</v>
      </c>
    </row>
    <row r="34" spans="1:19" s="95" customFormat="1" ht="10.5">
      <c r="A34" s="132">
        <v>35186</v>
      </c>
      <c r="B34" s="283">
        <v>112</v>
      </c>
      <c r="C34" s="348" t="s">
        <v>276</v>
      </c>
      <c r="D34" s="348">
        <v>0</v>
      </c>
      <c r="E34" s="348">
        <v>0</v>
      </c>
      <c r="F34" s="348">
        <v>0</v>
      </c>
      <c r="G34" s="283">
        <v>0</v>
      </c>
      <c r="H34" s="283">
        <v>0</v>
      </c>
      <c r="I34" s="284">
        <v>20</v>
      </c>
      <c r="J34" s="283">
        <f t="shared" si="4"/>
        <v>0</v>
      </c>
      <c r="K34" s="283">
        <f t="shared" si="5"/>
        <v>0</v>
      </c>
      <c r="L34" s="283">
        <f t="shared" si="6"/>
        <v>0</v>
      </c>
      <c r="M34" s="56">
        <f>Plan1!E39</f>
        <v>1.68868268</v>
      </c>
      <c r="N34" s="285">
        <f t="shared" si="0"/>
        <v>0</v>
      </c>
      <c r="O34" s="286">
        <f t="shared" si="7"/>
        <v>174</v>
      </c>
      <c r="P34" s="285">
        <f t="shared" si="1"/>
        <v>0</v>
      </c>
      <c r="Q34" s="287">
        <f t="shared" si="2"/>
        <v>0</v>
      </c>
      <c r="S34" s="208">
        <f t="shared" si="8"/>
        <v>0</v>
      </c>
    </row>
    <row r="35" spans="1:19" s="95" customFormat="1" ht="10.5">
      <c r="A35" s="132">
        <v>35217</v>
      </c>
      <c r="B35" s="283">
        <v>112</v>
      </c>
      <c r="C35" s="348" t="s">
        <v>276</v>
      </c>
      <c r="D35" s="348">
        <v>0</v>
      </c>
      <c r="E35" s="348">
        <v>0</v>
      </c>
      <c r="F35" s="348">
        <v>0</v>
      </c>
      <c r="G35" s="283">
        <v>0</v>
      </c>
      <c r="H35" s="283">
        <v>0</v>
      </c>
      <c r="I35" s="284">
        <v>20</v>
      </c>
      <c r="J35" s="283">
        <f t="shared" si="4"/>
        <v>0</v>
      </c>
      <c r="K35" s="283">
        <f t="shared" si="5"/>
        <v>0</v>
      </c>
      <c r="L35" s="283">
        <f t="shared" si="6"/>
        <v>0</v>
      </c>
      <c r="M35" s="56">
        <f>Plan1!E40</f>
        <v>1.67844584</v>
      </c>
      <c r="N35" s="285">
        <f t="shared" si="0"/>
        <v>0</v>
      </c>
      <c r="O35" s="286">
        <f t="shared" si="7"/>
        <v>174</v>
      </c>
      <c r="P35" s="285">
        <f t="shared" si="1"/>
        <v>0</v>
      </c>
      <c r="Q35" s="287">
        <f t="shared" si="2"/>
        <v>0</v>
      </c>
      <c r="S35" s="208">
        <f t="shared" si="8"/>
        <v>0</v>
      </c>
    </row>
    <row r="36" spans="1:19" s="95" customFormat="1" ht="10.5">
      <c r="A36" s="132">
        <v>35247</v>
      </c>
      <c r="B36" s="283">
        <v>112</v>
      </c>
      <c r="C36" s="348" t="s">
        <v>276</v>
      </c>
      <c r="D36" s="348">
        <v>0</v>
      </c>
      <c r="E36" s="348">
        <v>0</v>
      </c>
      <c r="F36" s="348">
        <v>0</v>
      </c>
      <c r="G36" s="283">
        <v>0</v>
      </c>
      <c r="H36" s="283">
        <v>0</v>
      </c>
      <c r="I36" s="284">
        <v>20</v>
      </c>
      <c r="J36" s="283">
        <f t="shared" si="4"/>
        <v>0</v>
      </c>
      <c r="K36" s="283">
        <f t="shared" si="5"/>
        <v>0</v>
      </c>
      <c r="L36" s="283">
        <f t="shared" si="6"/>
        <v>0</v>
      </c>
      <c r="M36" s="56">
        <f>Plan1!E41</f>
        <v>1.66868238</v>
      </c>
      <c r="N36" s="285">
        <f t="shared" si="0"/>
        <v>0</v>
      </c>
      <c r="O36" s="286">
        <f t="shared" si="7"/>
        <v>174</v>
      </c>
      <c r="P36" s="285">
        <f t="shared" si="1"/>
        <v>0</v>
      </c>
      <c r="Q36" s="287">
        <f t="shared" si="2"/>
        <v>0</v>
      </c>
      <c r="S36" s="208">
        <f t="shared" si="8"/>
        <v>0</v>
      </c>
    </row>
    <row r="37" spans="1:19" s="95" customFormat="1" ht="10.5">
      <c r="A37" s="132">
        <v>35278</v>
      </c>
      <c r="B37" s="283">
        <v>112</v>
      </c>
      <c r="C37" s="348" t="s">
        <v>276</v>
      </c>
      <c r="D37" s="348">
        <v>0</v>
      </c>
      <c r="E37" s="348">
        <v>0</v>
      </c>
      <c r="F37" s="348">
        <v>0</v>
      </c>
      <c r="G37" s="283">
        <v>0</v>
      </c>
      <c r="H37" s="283">
        <v>0</v>
      </c>
      <c r="I37" s="284">
        <v>20</v>
      </c>
      <c r="J37" s="283">
        <f t="shared" si="4"/>
        <v>0</v>
      </c>
      <c r="K37" s="283">
        <f t="shared" si="5"/>
        <v>0</v>
      </c>
      <c r="L37" s="283">
        <f t="shared" si="6"/>
        <v>0</v>
      </c>
      <c r="M37" s="56">
        <f>Plan1!E42</f>
        <v>1.65827669</v>
      </c>
      <c r="N37" s="285">
        <f t="shared" si="0"/>
        <v>0</v>
      </c>
      <c r="O37" s="286">
        <f t="shared" si="7"/>
        <v>174</v>
      </c>
      <c r="P37" s="285">
        <f t="shared" si="1"/>
        <v>0</v>
      </c>
      <c r="Q37" s="287">
        <f t="shared" si="2"/>
        <v>0</v>
      </c>
      <c r="S37" s="208">
        <f t="shared" si="8"/>
        <v>0</v>
      </c>
    </row>
    <row r="38" spans="1:19" s="95" customFormat="1" ht="10.5">
      <c r="A38" s="132">
        <v>35309</v>
      </c>
      <c r="B38" s="283">
        <v>112</v>
      </c>
      <c r="C38" s="283">
        <f>B38/30*3</f>
        <v>11.2</v>
      </c>
      <c r="D38" s="283">
        <v>0</v>
      </c>
      <c r="E38" s="283">
        <v>0</v>
      </c>
      <c r="F38" s="283">
        <f>(B37/12*8)/30*10*1.333333</f>
        <v>33.19</v>
      </c>
      <c r="G38" s="283">
        <v>0</v>
      </c>
      <c r="H38" s="283">
        <f t="shared" si="3"/>
        <v>44.39</v>
      </c>
      <c r="I38" s="284">
        <v>20</v>
      </c>
      <c r="J38" s="283">
        <f t="shared" si="4"/>
        <v>8.88</v>
      </c>
      <c r="K38" s="283">
        <f t="shared" si="5"/>
        <v>0.99</v>
      </c>
      <c r="L38" s="283">
        <f t="shared" si="6"/>
        <v>9.87</v>
      </c>
      <c r="M38" s="56">
        <f>Plan1!E43</f>
        <v>1.64737109</v>
      </c>
      <c r="N38" s="285">
        <f t="shared" si="0"/>
        <v>16.26</v>
      </c>
      <c r="O38" s="286">
        <f t="shared" si="7"/>
        <v>174</v>
      </c>
      <c r="P38" s="285">
        <f t="shared" si="1"/>
        <v>28.29</v>
      </c>
      <c r="Q38" s="287">
        <f t="shared" si="2"/>
        <v>44.55</v>
      </c>
      <c r="S38" s="208">
        <f t="shared" si="8"/>
        <v>1.63</v>
      </c>
    </row>
    <row r="39" spans="1:19" s="95" customFormat="1" ht="10.5">
      <c r="A39" s="132">
        <v>35339</v>
      </c>
      <c r="B39" s="283">
        <v>112</v>
      </c>
      <c r="C39" s="283">
        <f t="shared" si="9"/>
        <v>112</v>
      </c>
      <c r="D39" s="283">
        <v>0</v>
      </c>
      <c r="E39" s="283">
        <v>0</v>
      </c>
      <c r="F39" s="283">
        <v>0</v>
      </c>
      <c r="G39" s="283">
        <v>0</v>
      </c>
      <c r="H39" s="283">
        <f t="shared" si="3"/>
        <v>112</v>
      </c>
      <c r="I39" s="284">
        <v>20</v>
      </c>
      <c r="J39" s="283">
        <f t="shared" si="4"/>
        <v>22.4</v>
      </c>
      <c r="K39" s="283">
        <f t="shared" si="5"/>
        <v>2.51</v>
      </c>
      <c r="L39" s="283">
        <f t="shared" si="6"/>
        <v>24.91</v>
      </c>
      <c r="M39" s="56">
        <f>Plan1!E44</f>
        <v>1.63523925</v>
      </c>
      <c r="N39" s="285">
        <f t="shared" si="0"/>
        <v>40.73</v>
      </c>
      <c r="O39" s="286">
        <f t="shared" si="7"/>
        <v>174</v>
      </c>
      <c r="P39" s="285">
        <f t="shared" si="1"/>
        <v>70.87</v>
      </c>
      <c r="Q39" s="287">
        <f t="shared" si="2"/>
        <v>111.6</v>
      </c>
      <c r="S39" s="208">
        <f t="shared" si="8"/>
        <v>4.1</v>
      </c>
    </row>
    <row r="40" spans="1:19" s="95" customFormat="1" ht="10.5">
      <c r="A40" s="132">
        <v>35370</v>
      </c>
      <c r="B40" s="283">
        <v>112</v>
      </c>
      <c r="C40" s="283">
        <f t="shared" si="9"/>
        <v>112</v>
      </c>
      <c r="D40" s="283">
        <v>0</v>
      </c>
      <c r="E40" s="283">
        <v>0</v>
      </c>
      <c r="F40" s="283">
        <v>0</v>
      </c>
      <c r="G40" s="283">
        <v>0</v>
      </c>
      <c r="H40" s="283">
        <f t="shared" si="3"/>
        <v>112</v>
      </c>
      <c r="I40" s="284">
        <v>20</v>
      </c>
      <c r="J40" s="283">
        <f t="shared" si="4"/>
        <v>22.4</v>
      </c>
      <c r="K40" s="283">
        <f t="shared" si="5"/>
        <v>2.51</v>
      </c>
      <c r="L40" s="283">
        <f t="shared" si="6"/>
        <v>24.91</v>
      </c>
      <c r="M40" s="56">
        <f>Plan1!E45</f>
        <v>1.62202623</v>
      </c>
      <c r="N40" s="285">
        <f t="shared" si="0"/>
        <v>40.4</v>
      </c>
      <c r="O40" s="286">
        <f t="shared" si="7"/>
        <v>174</v>
      </c>
      <c r="P40" s="285">
        <f t="shared" si="1"/>
        <v>70.3</v>
      </c>
      <c r="Q40" s="287">
        <f t="shared" si="2"/>
        <v>110.7</v>
      </c>
      <c r="S40" s="208">
        <f t="shared" si="8"/>
        <v>4.07</v>
      </c>
    </row>
    <row r="41" spans="1:19" s="95" customFormat="1" ht="10.5">
      <c r="A41" s="132">
        <v>35400</v>
      </c>
      <c r="B41" s="283">
        <v>112</v>
      </c>
      <c r="C41" s="283">
        <f t="shared" si="9"/>
        <v>112</v>
      </c>
      <c r="D41" s="283">
        <v>0</v>
      </c>
      <c r="E41" s="283">
        <f>C41</f>
        <v>112</v>
      </c>
      <c r="F41" s="283">
        <v>0</v>
      </c>
      <c r="G41" s="283">
        <v>0</v>
      </c>
      <c r="H41" s="283">
        <f t="shared" si="3"/>
        <v>224</v>
      </c>
      <c r="I41" s="284">
        <v>20</v>
      </c>
      <c r="J41" s="283">
        <f t="shared" si="4"/>
        <v>44.8</v>
      </c>
      <c r="K41" s="283">
        <f t="shared" si="5"/>
        <v>5.02</v>
      </c>
      <c r="L41" s="283">
        <f t="shared" si="6"/>
        <v>49.82</v>
      </c>
      <c r="M41" s="56">
        <f>Plan1!F34</f>
        <v>1.60800921</v>
      </c>
      <c r="N41" s="285">
        <f t="shared" si="0"/>
        <v>80.11</v>
      </c>
      <c r="O41" s="286">
        <f t="shared" si="7"/>
        <v>174</v>
      </c>
      <c r="P41" s="285">
        <f t="shared" si="1"/>
        <v>139.39</v>
      </c>
      <c r="Q41" s="287">
        <f t="shared" si="2"/>
        <v>219.5</v>
      </c>
      <c r="S41" s="208">
        <f t="shared" si="8"/>
        <v>8.07</v>
      </c>
    </row>
    <row r="42" spans="1:19" s="95" customFormat="1" ht="10.5">
      <c r="A42" s="132">
        <v>35431</v>
      </c>
      <c r="B42" s="283">
        <v>112</v>
      </c>
      <c r="C42" s="283">
        <f>B42/30*20</f>
        <v>74.67</v>
      </c>
      <c r="D42" s="283">
        <v>0</v>
      </c>
      <c r="E42" s="283">
        <v>0</v>
      </c>
      <c r="F42" s="283">
        <v>0</v>
      </c>
      <c r="G42" s="283">
        <v>0</v>
      </c>
      <c r="H42" s="283">
        <f t="shared" si="3"/>
        <v>74.67</v>
      </c>
      <c r="I42" s="284">
        <v>20</v>
      </c>
      <c r="J42" s="283">
        <f t="shared" si="4"/>
        <v>14.93</v>
      </c>
      <c r="K42" s="283">
        <f t="shared" si="5"/>
        <v>1.67</v>
      </c>
      <c r="L42" s="283">
        <f t="shared" si="6"/>
        <v>16.6</v>
      </c>
      <c r="M42" s="56">
        <f>Plan1!F35</f>
        <v>1.59613397</v>
      </c>
      <c r="N42" s="285">
        <f t="shared" si="0"/>
        <v>26.5</v>
      </c>
      <c r="O42" s="286">
        <f t="shared" si="7"/>
        <v>174</v>
      </c>
      <c r="P42" s="285">
        <f t="shared" si="1"/>
        <v>46.11</v>
      </c>
      <c r="Q42" s="287">
        <f t="shared" si="2"/>
        <v>72.61</v>
      </c>
      <c r="S42" s="208">
        <f t="shared" si="8"/>
        <v>2.67</v>
      </c>
    </row>
    <row r="43" spans="1:19" s="95" customFormat="1" ht="10.5">
      <c r="A43" s="132">
        <v>35462</v>
      </c>
      <c r="B43" s="283">
        <v>112</v>
      </c>
      <c r="C43" s="283" t="s">
        <v>276</v>
      </c>
      <c r="D43" s="283">
        <v>0</v>
      </c>
      <c r="E43" s="283">
        <v>0</v>
      </c>
      <c r="F43" s="283">
        <v>0</v>
      </c>
      <c r="G43" s="283">
        <v>0</v>
      </c>
      <c r="H43" s="283">
        <v>0</v>
      </c>
      <c r="I43" s="284">
        <v>20</v>
      </c>
      <c r="J43" s="283">
        <f t="shared" si="4"/>
        <v>0</v>
      </c>
      <c r="K43" s="283">
        <f t="shared" si="5"/>
        <v>0</v>
      </c>
      <c r="L43" s="283">
        <f t="shared" si="6"/>
        <v>0</v>
      </c>
      <c r="M43" s="56">
        <f>Plan1!F36</f>
        <v>1.58564332</v>
      </c>
      <c r="N43" s="285">
        <f t="shared" si="0"/>
        <v>0</v>
      </c>
      <c r="O43" s="286">
        <f t="shared" si="7"/>
        <v>174</v>
      </c>
      <c r="P43" s="285">
        <f t="shared" si="1"/>
        <v>0</v>
      </c>
      <c r="Q43" s="287">
        <f t="shared" si="2"/>
        <v>0</v>
      </c>
      <c r="S43" s="208">
        <f t="shared" si="8"/>
        <v>0</v>
      </c>
    </row>
    <row r="44" spans="1:19" s="95" customFormat="1" ht="10.5">
      <c r="A44" s="132">
        <v>35490</v>
      </c>
      <c r="B44" s="283">
        <v>112</v>
      </c>
      <c r="C44" s="283">
        <f>B44/30*30</f>
        <v>112</v>
      </c>
      <c r="D44" s="283">
        <v>0</v>
      </c>
      <c r="E44" s="283">
        <v>0</v>
      </c>
      <c r="F44" s="283">
        <v>0</v>
      </c>
      <c r="G44" s="283">
        <v>0</v>
      </c>
      <c r="H44" s="283">
        <f t="shared" si="3"/>
        <v>112</v>
      </c>
      <c r="I44" s="284">
        <v>20</v>
      </c>
      <c r="J44" s="283">
        <f t="shared" si="4"/>
        <v>22.4</v>
      </c>
      <c r="K44" s="283">
        <f t="shared" si="5"/>
        <v>2.51</v>
      </c>
      <c r="L44" s="283">
        <f t="shared" si="6"/>
        <v>24.91</v>
      </c>
      <c r="M44" s="56">
        <f>Plan1!F37</f>
        <v>1.57569129</v>
      </c>
      <c r="N44" s="285">
        <f t="shared" si="0"/>
        <v>39.25</v>
      </c>
      <c r="O44" s="286">
        <f t="shared" si="7"/>
        <v>174</v>
      </c>
      <c r="P44" s="285">
        <f t="shared" si="1"/>
        <v>68.3</v>
      </c>
      <c r="Q44" s="287">
        <f t="shared" si="2"/>
        <v>107.55</v>
      </c>
      <c r="S44" s="208">
        <f t="shared" si="8"/>
        <v>3.95</v>
      </c>
    </row>
    <row r="45" spans="1:19" s="95" customFormat="1" ht="10.5">
      <c r="A45" s="132">
        <v>35521</v>
      </c>
      <c r="B45" s="283">
        <v>112</v>
      </c>
      <c r="C45" s="283">
        <f>B45/30*13</f>
        <v>48.53</v>
      </c>
      <c r="D45" s="283">
        <v>0</v>
      </c>
      <c r="E45" s="283">
        <v>0</v>
      </c>
      <c r="F45" s="283">
        <f>C44*1.333333</f>
        <v>149.33</v>
      </c>
      <c r="G45" s="283">
        <v>0</v>
      </c>
      <c r="H45" s="283">
        <f t="shared" si="3"/>
        <v>197.86</v>
      </c>
      <c r="I45" s="284">
        <v>20</v>
      </c>
      <c r="J45" s="283">
        <f t="shared" si="4"/>
        <v>39.57</v>
      </c>
      <c r="K45" s="283">
        <f t="shared" si="5"/>
        <v>4.43</v>
      </c>
      <c r="L45" s="283">
        <f t="shared" si="6"/>
        <v>44</v>
      </c>
      <c r="M45" s="56">
        <f>Plan1!F38</f>
        <v>1.56596508</v>
      </c>
      <c r="N45" s="285">
        <f t="shared" si="0"/>
        <v>68.9</v>
      </c>
      <c r="O45" s="286">
        <f t="shared" si="7"/>
        <v>174</v>
      </c>
      <c r="P45" s="285">
        <f t="shared" si="1"/>
        <v>119.89</v>
      </c>
      <c r="Q45" s="287">
        <f t="shared" si="2"/>
        <v>188.79</v>
      </c>
      <c r="S45" s="208">
        <f t="shared" si="8"/>
        <v>6.94</v>
      </c>
    </row>
    <row r="46" spans="1:19" s="95" customFormat="1" ht="10.5">
      <c r="A46" s="132">
        <v>35551</v>
      </c>
      <c r="B46" s="283">
        <v>120</v>
      </c>
      <c r="C46" s="283">
        <f>B46/30*27</f>
        <v>108</v>
      </c>
      <c r="D46" s="283">
        <v>0</v>
      </c>
      <c r="E46" s="283">
        <v>0</v>
      </c>
      <c r="F46" s="283">
        <v>0</v>
      </c>
      <c r="G46" s="283">
        <v>0</v>
      </c>
      <c r="H46" s="283">
        <f t="shared" si="3"/>
        <v>108</v>
      </c>
      <c r="I46" s="284">
        <v>20</v>
      </c>
      <c r="J46" s="283">
        <f t="shared" si="4"/>
        <v>21.6</v>
      </c>
      <c r="K46" s="283">
        <f t="shared" si="5"/>
        <v>2.42</v>
      </c>
      <c r="L46" s="283">
        <f t="shared" si="6"/>
        <v>24.02</v>
      </c>
      <c r="M46" s="56">
        <f>Plan1!F39</f>
        <v>1.55607776</v>
      </c>
      <c r="N46" s="285">
        <f t="shared" si="0"/>
        <v>37.38</v>
      </c>
      <c r="O46" s="286">
        <f t="shared" si="7"/>
        <v>174</v>
      </c>
      <c r="P46" s="285">
        <f t="shared" si="1"/>
        <v>65.04</v>
      </c>
      <c r="Q46" s="287">
        <f t="shared" si="2"/>
        <v>102.42</v>
      </c>
      <c r="S46" s="208">
        <f t="shared" si="8"/>
        <v>3.77</v>
      </c>
    </row>
    <row r="47" spans="1:19" s="95" customFormat="1" ht="10.5">
      <c r="A47" s="132">
        <v>35582</v>
      </c>
      <c r="B47" s="283">
        <v>120</v>
      </c>
      <c r="C47" s="283">
        <f t="shared" si="9"/>
        <v>120</v>
      </c>
      <c r="D47" s="283">
        <v>0</v>
      </c>
      <c r="E47" s="283">
        <v>0</v>
      </c>
      <c r="F47" s="283">
        <v>0</v>
      </c>
      <c r="G47" s="283">
        <v>0</v>
      </c>
      <c r="H47" s="283">
        <f t="shared" si="3"/>
        <v>120</v>
      </c>
      <c r="I47" s="284">
        <v>20</v>
      </c>
      <c r="J47" s="283">
        <f t="shared" si="4"/>
        <v>24</v>
      </c>
      <c r="K47" s="283">
        <f t="shared" si="5"/>
        <v>2.69</v>
      </c>
      <c r="L47" s="283">
        <f t="shared" si="6"/>
        <v>26.69</v>
      </c>
      <c r="M47" s="56">
        <f>Plan1!F40</f>
        <v>1.54597482</v>
      </c>
      <c r="N47" s="285">
        <f t="shared" si="0"/>
        <v>41.26</v>
      </c>
      <c r="O47" s="286">
        <f t="shared" si="7"/>
        <v>174</v>
      </c>
      <c r="P47" s="285">
        <f t="shared" si="1"/>
        <v>71.79</v>
      </c>
      <c r="Q47" s="287">
        <f t="shared" si="2"/>
        <v>113.05</v>
      </c>
      <c r="S47" s="208">
        <f t="shared" si="8"/>
        <v>4.16</v>
      </c>
    </row>
    <row r="48" spans="1:19" s="95" customFormat="1" ht="10.5">
      <c r="A48" s="132">
        <v>35612</v>
      </c>
      <c r="B48" s="283">
        <v>120</v>
      </c>
      <c r="C48" s="283">
        <f t="shared" si="9"/>
        <v>120</v>
      </c>
      <c r="D48" s="283">
        <f>172.86+246.56</f>
        <v>419.42</v>
      </c>
      <c r="E48" s="283">
        <v>0</v>
      </c>
      <c r="F48" s="283">
        <v>0</v>
      </c>
      <c r="G48" s="283">
        <v>0</v>
      </c>
      <c r="H48" s="283">
        <f t="shared" si="3"/>
        <v>539.42</v>
      </c>
      <c r="I48" s="284">
        <v>20</v>
      </c>
      <c r="J48" s="283">
        <f t="shared" si="4"/>
        <v>107.88</v>
      </c>
      <c r="K48" s="283">
        <f t="shared" si="5"/>
        <v>12.08</v>
      </c>
      <c r="L48" s="283">
        <f t="shared" si="6"/>
        <v>119.96</v>
      </c>
      <c r="M48" s="56">
        <f>Plan1!F41</f>
        <v>1.5358688</v>
      </c>
      <c r="N48" s="285">
        <f t="shared" si="0"/>
        <v>184.24</v>
      </c>
      <c r="O48" s="286">
        <f t="shared" si="7"/>
        <v>174</v>
      </c>
      <c r="P48" s="285">
        <f t="shared" si="1"/>
        <v>320.58</v>
      </c>
      <c r="Q48" s="287">
        <f t="shared" si="2"/>
        <v>504.82</v>
      </c>
      <c r="S48" s="208">
        <f t="shared" si="8"/>
        <v>18.55</v>
      </c>
    </row>
    <row r="49" spans="1:19" s="95" customFormat="1" ht="10.5">
      <c r="A49" s="132">
        <v>35643</v>
      </c>
      <c r="B49" s="283">
        <v>120</v>
      </c>
      <c r="C49" s="283">
        <f t="shared" si="9"/>
        <v>120</v>
      </c>
      <c r="D49" s="283">
        <f>180.9+230.48</f>
        <v>411.38</v>
      </c>
      <c r="E49" s="283">
        <v>0</v>
      </c>
      <c r="F49" s="283">
        <v>0</v>
      </c>
      <c r="G49" s="283">
        <v>0</v>
      </c>
      <c r="H49" s="283">
        <f t="shared" si="3"/>
        <v>531.38</v>
      </c>
      <c r="I49" s="284">
        <v>20</v>
      </c>
      <c r="J49" s="283">
        <f t="shared" si="4"/>
        <v>106.28</v>
      </c>
      <c r="K49" s="283">
        <f t="shared" si="5"/>
        <v>11.9</v>
      </c>
      <c r="L49" s="283">
        <f t="shared" si="6"/>
        <v>118.18</v>
      </c>
      <c r="M49" s="56">
        <f>Plan1!F42</f>
        <v>1.52629891</v>
      </c>
      <c r="N49" s="285">
        <f t="shared" si="0"/>
        <v>180.38</v>
      </c>
      <c r="O49" s="286">
        <f t="shared" si="7"/>
        <v>174</v>
      </c>
      <c r="P49" s="285">
        <f t="shared" si="1"/>
        <v>313.86</v>
      </c>
      <c r="Q49" s="287">
        <f t="shared" si="2"/>
        <v>494.24</v>
      </c>
      <c r="S49" s="208">
        <f t="shared" si="8"/>
        <v>18.16</v>
      </c>
    </row>
    <row r="50" spans="1:19" s="95" customFormat="1" ht="10.5">
      <c r="A50" s="132">
        <v>35674</v>
      </c>
      <c r="B50" s="283">
        <v>120</v>
      </c>
      <c r="C50" s="283">
        <f t="shared" si="9"/>
        <v>120</v>
      </c>
      <c r="D50" s="283">
        <f>56.28+69.68</f>
        <v>125.96</v>
      </c>
      <c r="E50" s="283">
        <v>0</v>
      </c>
      <c r="F50" s="283">
        <v>0</v>
      </c>
      <c r="G50" s="283">
        <v>0</v>
      </c>
      <c r="H50" s="283">
        <f t="shared" si="3"/>
        <v>245.96</v>
      </c>
      <c r="I50" s="284">
        <v>20</v>
      </c>
      <c r="J50" s="283">
        <f t="shared" si="4"/>
        <v>49.19</v>
      </c>
      <c r="K50" s="283">
        <f t="shared" si="5"/>
        <v>5.51</v>
      </c>
      <c r="L50" s="283">
        <f t="shared" si="6"/>
        <v>54.7</v>
      </c>
      <c r="M50" s="56">
        <f>Plan1!F43</f>
        <v>1.51648121</v>
      </c>
      <c r="N50" s="285">
        <f t="shared" si="0"/>
        <v>82.95</v>
      </c>
      <c r="O50" s="286">
        <f t="shared" si="7"/>
        <v>174</v>
      </c>
      <c r="P50" s="285">
        <f t="shared" si="1"/>
        <v>144.33</v>
      </c>
      <c r="Q50" s="287">
        <f t="shared" si="2"/>
        <v>227.28</v>
      </c>
      <c r="S50" s="208">
        <f t="shared" si="8"/>
        <v>8.36</v>
      </c>
    </row>
    <row r="51" spans="1:19" s="95" customFormat="1" ht="10.5">
      <c r="A51" s="132">
        <v>35704</v>
      </c>
      <c r="B51" s="283">
        <v>120</v>
      </c>
      <c r="C51" s="283">
        <f t="shared" si="9"/>
        <v>120</v>
      </c>
      <c r="D51" s="283">
        <v>0</v>
      </c>
      <c r="E51" s="283">
        <v>0</v>
      </c>
      <c r="F51" s="283">
        <v>0</v>
      </c>
      <c r="G51" s="283">
        <v>0</v>
      </c>
      <c r="H51" s="283">
        <f t="shared" si="3"/>
        <v>120</v>
      </c>
      <c r="I51" s="284">
        <v>20</v>
      </c>
      <c r="J51" s="283">
        <f t="shared" si="4"/>
        <v>24</v>
      </c>
      <c r="K51" s="283">
        <f t="shared" si="5"/>
        <v>2.69</v>
      </c>
      <c r="L51" s="283">
        <f t="shared" si="6"/>
        <v>26.69</v>
      </c>
      <c r="M51" s="56">
        <f>Plan1!F44</f>
        <v>1.5066084</v>
      </c>
      <c r="N51" s="285">
        <f t="shared" si="0"/>
        <v>40.21</v>
      </c>
      <c r="O51" s="286">
        <f t="shared" si="7"/>
        <v>174</v>
      </c>
      <c r="P51" s="285">
        <f t="shared" si="1"/>
        <v>69.97</v>
      </c>
      <c r="Q51" s="287">
        <f t="shared" si="2"/>
        <v>110.18</v>
      </c>
      <c r="S51" s="208">
        <f t="shared" si="8"/>
        <v>4.05</v>
      </c>
    </row>
    <row r="52" spans="1:19" s="95" customFormat="1" ht="10.5">
      <c r="A52" s="132">
        <v>35735</v>
      </c>
      <c r="B52" s="283">
        <v>120</v>
      </c>
      <c r="C52" s="283">
        <f t="shared" si="9"/>
        <v>120</v>
      </c>
      <c r="D52" s="283">
        <v>0</v>
      </c>
      <c r="E52" s="283">
        <v>0</v>
      </c>
      <c r="F52" s="283">
        <v>0</v>
      </c>
      <c r="G52" s="283">
        <v>0</v>
      </c>
      <c r="H52" s="283">
        <f t="shared" si="3"/>
        <v>120</v>
      </c>
      <c r="I52" s="284">
        <v>20</v>
      </c>
      <c r="J52" s="283">
        <f t="shared" si="4"/>
        <v>24</v>
      </c>
      <c r="K52" s="283">
        <f t="shared" si="5"/>
        <v>2.69</v>
      </c>
      <c r="L52" s="283">
        <f t="shared" si="6"/>
        <v>26.69</v>
      </c>
      <c r="M52" s="56">
        <f>Plan1!F45</f>
        <v>1.48385497</v>
      </c>
      <c r="N52" s="285">
        <f t="shared" si="0"/>
        <v>39.6</v>
      </c>
      <c r="O52" s="286">
        <f t="shared" si="7"/>
        <v>174</v>
      </c>
      <c r="P52" s="285">
        <f t="shared" si="1"/>
        <v>68.9</v>
      </c>
      <c r="Q52" s="287">
        <f t="shared" si="2"/>
        <v>108.5</v>
      </c>
      <c r="S52" s="208">
        <f t="shared" si="8"/>
        <v>3.99</v>
      </c>
    </row>
    <row r="53" spans="1:21" s="95" customFormat="1" ht="10.5">
      <c r="A53" s="132">
        <v>35765</v>
      </c>
      <c r="B53" s="283">
        <v>120</v>
      </c>
      <c r="C53" s="283">
        <f t="shared" si="9"/>
        <v>120</v>
      </c>
      <c r="D53" s="283">
        <v>0</v>
      </c>
      <c r="E53" s="283">
        <f>C53</f>
        <v>120</v>
      </c>
      <c r="F53" s="283">
        <v>0</v>
      </c>
      <c r="G53" s="283">
        <v>0</v>
      </c>
      <c r="H53" s="283">
        <f t="shared" si="3"/>
        <v>240</v>
      </c>
      <c r="I53" s="284">
        <v>20</v>
      </c>
      <c r="J53" s="283">
        <f t="shared" si="4"/>
        <v>48</v>
      </c>
      <c r="K53" s="283">
        <f t="shared" si="5"/>
        <v>5.38</v>
      </c>
      <c r="L53" s="283">
        <f t="shared" si="6"/>
        <v>53.38</v>
      </c>
      <c r="M53" s="56">
        <f>Plan1!G34</f>
        <v>1.46468951</v>
      </c>
      <c r="N53" s="285">
        <f t="shared" si="0"/>
        <v>78.19</v>
      </c>
      <c r="O53" s="286">
        <f t="shared" si="7"/>
        <v>174</v>
      </c>
      <c r="P53" s="285">
        <f t="shared" si="1"/>
        <v>136.05</v>
      </c>
      <c r="Q53" s="287">
        <f t="shared" si="2"/>
        <v>214.24</v>
      </c>
      <c r="S53" s="208">
        <f t="shared" si="8"/>
        <v>7.88</v>
      </c>
      <c r="U53" s="207" t="s">
        <v>221</v>
      </c>
    </row>
    <row r="54" spans="1:21" s="95" customFormat="1" ht="10.5">
      <c r="A54" s="132">
        <v>35796</v>
      </c>
      <c r="B54" s="283">
        <v>120</v>
      </c>
      <c r="C54" s="283">
        <f t="shared" si="9"/>
        <v>120</v>
      </c>
      <c r="D54" s="283">
        <v>0</v>
      </c>
      <c r="E54" s="283">
        <v>0</v>
      </c>
      <c r="F54" s="283">
        <v>0</v>
      </c>
      <c r="G54" s="283">
        <v>0</v>
      </c>
      <c r="H54" s="283">
        <f t="shared" si="3"/>
        <v>120</v>
      </c>
      <c r="I54" s="284">
        <v>20</v>
      </c>
      <c r="J54" s="283">
        <f t="shared" si="4"/>
        <v>24</v>
      </c>
      <c r="K54" s="283">
        <f t="shared" si="5"/>
        <v>2.69</v>
      </c>
      <c r="L54" s="283">
        <f t="shared" si="6"/>
        <v>26.69</v>
      </c>
      <c r="M54" s="56">
        <f>Plan1!G35</f>
        <v>1.44809578</v>
      </c>
      <c r="N54" s="285">
        <f t="shared" si="0"/>
        <v>38.65</v>
      </c>
      <c r="O54" s="286">
        <f t="shared" si="7"/>
        <v>174</v>
      </c>
      <c r="P54" s="285">
        <f t="shared" si="1"/>
        <v>67.25</v>
      </c>
      <c r="Q54" s="287">
        <f t="shared" si="2"/>
        <v>105.9</v>
      </c>
      <c r="S54" s="208">
        <f t="shared" si="8"/>
        <v>3.9</v>
      </c>
      <c r="U54" s="208">
        <f>G63*M63</f>
        <v>179.05</v>
      </c>
    </row>
    <row r="55" spans="1:19" s="95" customFormat="1" ht="10.5">
      <c r="A55" s="132">
        <v>35827</v>
      </c>
      <c r="B55" s="283">
        <v>120</v>
      </c>
      <c r="C55" s="283">
        <f t="shared" si="9"/>
        <v>120</v>
      </c>
      <c r="D55" s="283">
        <v>0</v>
      </c>
      <c r="E55" s="283">
        <v>0</v>
      </c>
      <c r="F55" s="283">
        <v>0</v>
      </c>
      <c r="G55" s="283">
        <v>0</v>
      </c>
      <c r="H55" s="283">
        <f t="shared" si="3"/>
        <v>120</v>
      </c>
      <c r="I55" s="284">
        <v>20</v>
      </c>
      <c r="J55" s="283">
        <f t="shared" si="4"/>
        <v>24</v>
      </c>
      <c r="K55" s="283">
        <f t="shared" si="5"/>
        <v>2.69</v>
      </c>
      <c r="L55" s="283">
        <f t="shared" si="6"/>
        <v>26.69</v>
      </c>
      <c r="M55" s="56">
        <f>Plan1!G36</f>
        <v>1.44166451</v>
      </c>
      <c r="N55" s="285">
        <f t="shared" si="0"/>
        <v>38.48</v>
      </c>
      <c r="O55" s="286">
        <f t="shared" si="7"/>
        <v>174</v>
      </c>
      <c r="P55" s="285">
        <f t="shared" si="1"/>
        <v>66.96</v>
      </c>
      <c r="Q55" s="287">
        <f t="shared" si="2"/>
        <v>105.44</v>
      </c>
      <c r="S55" s="208">
        <f t="shared" si="8"/>
        <v>3.88</v>
      </c>
    </row>
    <row r="56" spans="1:19" s="95" customFormat="1" ht="10.5">
      <c r="A56" s="132">
        <v>35855</v>
      </c>
      <c r="B56" s="283">
        <v>120</v>
      </c>
      <c r="C56" s="283">
        <f>B56/30*15</f>
        <v>60</v>
      </c>
      <c r="D56" s="283">
        <v>0</v>
      </c>
      <c r="E56" s="283">
        <v>0</v>
      </c>
      <c r="F56" s="283">
        <f>C55*1.33333</f>
        <v>160</v>
      </c>
      <c r="G56" s="283">
        <v>0</v>
      </c>
      <c r="H56" s="283">
        <f t="shared" si="3"/>
        <v>220</v>
      </c>
      <c r="I56" s="284">
        <v>20</v>
      </c>
      <c r="J56" s="283">
        <f t="shared" si="4"/>
        <v>44</v>
      </c>
      <c r="K56" s="283">
        <f t="shared" si="5"/>
        <v>4.93</v>
      </c>
      <c r="L56" s="283">
        <f t="shared" si="6"/>
        <v>48.93</v>
      </c>
      <c r="M56" s="56">
        <f>Plan1!G37</f>
        <v>1.42881235</v>
      </c>
      <c r="N56" s="285">
        <f t="shared" si="0"/>
        <v>69.91</v>
      </c>
      <c r="O56" s="286">
        <f t="shared" si="7"/>
        <v>174</v>
      </c>
      <c r="P56" s="285">
        <f t="shared" si="1"/>
        <v>121.64</v>
      </c>
      <c r="Q56" s="287">
        <f t="shared" si="2"/>
        <v>191.55</v>
      </c>
      <c r="S56" s="208">
        <f t="shared" si="8"/>
        <v>7.04</v>
      </c>
    </row>
    <row r="57" spans="1:21" s="95" customFormat="1" ht="10.5">
      <c r="A57" s="132">
        <v>35886</v>
      </c>
      <c r="B57" s="283">
        <v>120</v>
      </c>
      <c r="C57" s="283">
        <f>B57/30*16</f>
        <v>64</v>
      </c>
      <c r="D57" s="283">
        <v>0</v>
      </c>
      <c r="E57" s="283">
        <v>0</v>
      </c>
      <c r="F57" s="283">
        <v>0</v>
      </c>
      <c r="G57" s="283">
        <v>0</v>
      </c>
      <c r="H57" s="283">
        <f t="shared" si="3"/>
        <v>64</v>
      </c>
      <c r="I57" s="284">
        <v>20</v>
      </c>
      <c r="J57" s="283">
        <f t="shared" si="4"/>
        <v>12.8</v>
      </c>
      <c r="K57" s="283">
        <f t="shared" si="5"/>
        <v>1.43</v>
      </c>
      <c r="L57" s="283">
        <f t="shared" si="6"/>
        <v>14.23</v>
      </c>
      <c r="M57" s="56">
        <f>Plan1!G38</f>
        <v>1.42210004</v>
      </c>
      <c r="N57" s="285">
        <f t="shared" si="0"/>
        <v>20.24</v>
      </c>
      <c r="O57" s="286">
        <f t="shared" si="7"/>
        <v>174</v>
      </c>
      <c r="P57" s="285">
        <f t="shared" si="1"/>
        <v>35.22</v>
      </c>
      <c r="Q57" s="287">
        <f t="shared" si="2"/>
        <v>55.46</v>
      </c>
      <c r="S57" s="208">
        <f t="shared" si="8"/>
        <v>2.03</v>
      </c>
      <c r="U57" s="207" t="s">
        <v>222</v>
      </c>
    </row>
    <row r="58" spans="1:21" s="95" customFormat="1" ht="10.5">
      <c r="A58" s="132">
        <v>35916</v>
      </c>
      <c r="B58" s="283">
        <v>130</v>
      </c>
      <c r="C58" s="283">
        <f t="shared" si="9"/>
        <v>130</v>
      </c>
      <c r="D58" s="283">
        <v>0</v>
      </c>
      <c r="E58" s="283">
        <v>0</v>
      </c>
      <c r="F58" s="283">
        <v>0</v>
      </c>
      <c r="G58" s="283">
        <v>0</v>
      </c>
      <c r="H58" s="283">
        <f t="shared" si="3"/>
        <v>130</v>
      </c>
      <c r="I58" s="284">
        <v>20</v>
      </c>
      <c r="J58" s="283">
        <f t="shared" si="4"/>
        <v>26</v>
      </c>
      <c r="K58" s="283">
        <f t="shared" si="5"/>
        <v>2.91</v>
      </c>
      <c r="L58" s="283">
        <f t="shared" si="6"/>
        <v>28.91</v>
      </c>
      <c r="M58" s="56">
        <f>Plan1!G39</f>
        <v>1.41566865</v>
      </c>
      <c r="N58" s="285">
        <f t="shared" si="0"/>
        <v>40.93</v>
      </c>
      <c r="O58" s="286">
        <f t="shared" si="7"/>
        <v>174</v>
      </c>
      <c r="P58" s="285">
        <f t="shared" si="1"/>
        <v>71.22</v>
      </c>
      <c r="Q58" s="287">
        <f t="shared" si="2"/>
        <v>112.15</v>
      </c>
      <c r="S58" s="208">
        <f t="shared" si="8"/>
        <v>4.12</v>
      </c>
      <c r="U58" s="208">
        <f>F63*M63</f>
        <v>53.05</v>
      </c>
    </row>
    <row r="59" spans="1:19" s="95" customFormat="1" ht="10.5">
      <c r="A59" s="132">
        <v>35947</v>
      </c>
      <c r="B59" s="283">
        <v>130</v>
      </c>
      <c r="C59" s="283">
        <f>B59/30*24</f>
        <v>104</v>
      </c>
      <c r="D59" s="283">
        <v>0</v>
      </c>
      <c r="E59" s="283">
        <v>0</v>
      </c>
      <c r="F59" s="283">
        <v>0</v>
      </c>
      <c r="G59" s="283">
        <v>0</v>
      </c>
      <c r="H59" s="283">
        <f t="shared" si="3"/>
        <v>104</v>
      </c>
      <c r="I59" s="284">
        <v>20</v>
      </c>
      <c r="J59" s="283">
        <f t="shared" si="4"/>
        <v>20.8</v>
      </c>
      <c r="K59" s="283">
        <f t="shared" si="5"/>
        <v>2.33</v>
      </c>
      <c r="L59" s="283">
        <f t="shared" si="6"/>
        <v>23.13</v>
      </c>
      <c r="M59" s="56">
        <f>Plan1!G40</f>
        <v>1.40874748</v>
      </c>
      <c r="N59" s="285">
        <f t="shared" si="0"/>
        <v>32.58</v>
      </c>
      <c r="O59" s="286">
        <f t="shared" si="7"/>
        <v>174</v>
      </c>
      <c r="P59" s="285">
        <f t="shared" si="1"/>
        <v>56.69</v>
      </c>
      <c r="Q59" s="287">
        <f t="shared" si="2"/>
        <v>89.27</v>
      </c>
      <c r="S59" s="208">
        <f t="shared" si="8"/>
        <v>3.28</v>
      </c>
    </row>
    <row r="60" spans="1:19" s="95" customFormat="1" ht="10.5">
      <c r="A60" s="132">
        <v>35977</v>
      </c>
      <c r="B60" s="283">
        <v>130</v>
      </c>
      <c r="C60" s="283">
        <f>B60/30*27</f>
        <v>117</v>
      </c>
      <c r="D60" s="283">
        <v>0</v>
      </c>
      <c r="E60" s="283">
        <v>0</v>
      </c>
      <c r="F60" s="283">
        <v>0</v>
      </c>
      <c r="G60" s="283">
        <v>0</v>
      </c>
      <c r="H60" s="283">
        <f t="shared" si="3"/>
        <v>117</v>
      </c>
      <c r="I60" s="284">
        <v>20</v>
      </c>
      <c r="J60" s="283">
        <f t="shared" si="4"/>
        <v>23.4</v>
      </c>
      <c r="K60" s="283">
        <f t="shared" si="5"/>
        <v>2.62</v>
      </c>
      <c r="L60" s="283">
        <f t="shared" si="6"/>
        <v>26.02</v>
      </c>
      <c r="M60" s="56">
        <f>Plan1!G41</f>
        <v>1.40103757</v>
      </c>
      <c r="N60" s="285">
        <f t="shared" si="0"/>
        <v>36.45</v>
      </c>
      <c r="O60" s="286">
        <f t="shared" si="7"/>
        <v>174</v>
      </c>
      <c r="P60" s="285">
        <f t="shared" si="1"/>
        <v>63.42</v>
      </c>
      <c r="Q60" s="287">
        <f t="shared" si="2"/>
        <v>99.87</v>
      </c>
      <c r="S60" s="208">
        <f t="shared" si="8"/>
        <v>3.67</v>
      </c>
    </row>
    <row r="61" spans="1:19" s="95" customFormat="1" ht="10.5">
      <c r="A61" s="132">
        <v>36008</v>
      </c>
      <c r="B61" s="283">
        <v>130</v>
      </c>
      <c r="C61" s="283">
        <f t="shared" si="9"/>
        <v>130</v>
      </c>
      <c r="D61" s="283">
        <v>0</v>
      </c>
      <c r="E61" s="283">
        <v>0</v>
      </c>
      <c r="F61" s="283">
        <v>0</v>
      </c>
      <c r="G61" s="283">
        <v>0</v>
      </c>
      <c r="H61" s="283">
        <f t="shared" si="3"/>
        <v>130</v>
      </c>
      <c r="I61" s="284">
        <v>20</v>
      </c>
      <c r="J61" s="283">
        <f t="shared" si="4"/>
        <v>26</v>
      </c>
      <c r="K61" s="283">
        <f t="shared" si="5"/>
        <v>2.91</v>
      </c>
      <c r="L61" s="283">
        <f t="shared" si="6"/>
        <v>28.91</v>
      </c>
      <c r="M61" s="56">
        <f>Plan1!G42</f>
        <v>1.39580469</v>
      </c>
      <c r="N61" s="285">
        <f t="shared" si="0"/>
        <v>40.35</v>
      </c>
      <c r="O61" s="286">
        <f t="shared" si="7"/>
        <v>174</v>
      </c>
      <c r="P61" s="285">
        <f t="shared" si="1"/>
        <v>70.21</v>
      </c>
      <c r="Q61" s="287">
        <f t="shared" si="2"/>
        <v>110.56</v>
      </c>
      <c r="S61" s="208">
        <f t="shared" si="8"/>
        <v>4.06</v>
      </c>
    </row>
    <row r="62" spans="1:19" s="95" customFormat="1" ht="10.5">
      <c r="A62" s="132">
        <v>36039</v>
      </c>
      <c r="B62" s="283">
        <v>130</v>
      </c>
      <c r="C62" s="283">
        <f>B62/30*20</f>
        <v>86.67</v>
      </c>
      <c r="D62" s="283">
        <v>0</v>
      </c>
      <c r="E62" s="283">
        <v>0</v>
      </c>
      <c r="F62" s="283">
        <f>C61*1.33333</f>
        <v>173.33</v>
      </c>
      <c r="G62" s="283">
        <v>0</v>
      </c>
      <c r="H62" s="283">
        <f t="shared" si="3"/>
        <v>260</v>
      </c>
      <c r="I62" s="284">
        <v>20</v>
      </c>
      <c r="J62" s="283">
        <f t="shared" si="4"/>
        <v>52</v>
      </c>
      <c r="K62" s="283">
        <f t="shared" si="5"/>
        <v>5.82</v>
      </c>
      <c r="L62" s="283">
        <f t="shared" si="6"/>
        <v>57.82</v>
      </c>
      <c r="M62" s="56">
        <f>Plan1!G43</f>
        <v>1.38953511</v>
      </c>
      <c r="N62" s="285">
        <f t="shared" si="0"/>
        <v>80.34</v>
      </c>
      <c r="O62" s="286">
        <f t="shared" si="7"/>
        <v>174</v>
      </c>
      <c r="P62" s="285">
        <f t="shared" si="1"/>
        <v>139.79</v>
      </c>
      <c r="Q62" s="287">
        <f t="shared" si="2"/>
        <v>220.13</v>
      </c>
      <c r="S62" s="208">
        <f t="shared" si="8"/>
        <v>8.09</v>
      </c>
    </row>
    <row r="63" spans="1:19" s="95" customFormat="1" ht="10.5">
      <c r="A63" s="132">
        <v>36069</v>
      </c>
      <c r="B63" s="283">
        <v>130</v>
      </c>
      <c r="C63" s="283">
        <f>B63/30*3</f>
        <v>13</v>
      </c>
      <c r="D63" s="283">
        <v>0</v>
      </c>
      <c r="E63" s="348">
        <f>C62/12*10</f>
        <v>72.23</v>
      </c>
      <c r="F63" s="348">
        <f>C62/12*4*1.3333</f>
        <v>38.52</v>
      </c>
      <c r="G63" s="283">
        <v>130</v>
      </c>
      <c r="H63" s="283">
        <f t="shared" si="3"/>
        <v>253.75</v>
      </c>
      <c r="I63" s="284">
        <v>20</v>
      </c>
      <c r="J63" s="283">
        <f t="shared" si="4"/>
        <v>50.75</v>
      </c>
      <c r="K63" s="283">
        <f t="shared" si="5"/>
        <v>5.68</v>
      </c>
      <c r="L63" s="283">
        <f t="shared" si="6"/>
        <v>56.43</v>
      </c>
      <c r="M63" s="56">
        <f>Plan1!G44</f>
        <v>1.37728826</v>
      </c>
      <c r="N63" s="285">
        <f t="shared" si="0"/>
        <v>77.72</v>
      </c>
      <c r="O63" s="286">
        <f t="shared" si="7"/>
        <v>174</v>
      </c>
      <c r="P63" s="285">
        <f t="shared" si="1"/>
        <v>135.23</v>
      </c>
      <c r="Q63" s="287">
        <f t="shared" si="2"/>
        <v>212.95</v>
      </c>
      <c r="S63" s="208">
        <f t="shared" si="8"/>
        <v>7.82</v>
      </c>
    </row>
    <row r="64" spans="1:18" s="94" customFormat="1" ht="10.5">
      <c r="A64" s="40"/>
      <c r="B64" s="288"/>
      <c r="C64" s="288"/>
      <c r="D64" s="288"/>
      <c r="E64" s="288"/>
      <c r="F64" s="288"/>
      <c r="G64" s="288"/>
      <c r="H64" s="288"/>
      <c r="I64" s="289"/>
      <c r="J64" s="288"/>
      <c r="K64" s="288"/>
      <c r="L64" s="288"/>
      <c r="M64" s="290"/>
      <c r="N64" s="291"/>
      <c r="O64" s="292"/>
      <c r="P64" s="291"/>
      <c r="Q64" s="293"/>
      <c r="R64" s="306"/>
    </row>
    <row r="65" spans="3:19" s="94" customFormat="1" ht="12.75" customHeight="1">
      <c r="C65" s="207">
        <f aca="true" t="shared" si="10" ref="C65:H65">SUM(C21:C63)</f>
        <v>3281.74</v>
      </c>
      <c r="D65" s="207">
        <f t="shared" si="10"/>
        <v>956.76</v>
      </c>
      <c r="E65" s="207">
        <f t="shared" si="10"/>
        <v>337.56</v>
      </c>
      <c r="F65" s="207">
        <f t="shared" si="10"/>
        <v>613.63</v>
      </c>
      <c r="G65" s="207">
        <f t="shared" si="10"/>
        <v>130</v>
      </c>
      <c r="H65" s="207">
        <f t="shared" si="10"/>
        <v>5319.69</v>
      </c>
      <c r="J65" s="207">
        <f>SUM(J21:J63)</f>
        <v>1063.93</v>
      </c>
      <c r="K65" s="207">
        <f>SUM(K21:K63)</f>
        <v>119.15</v>
      </c>
      <c r="L65" s="207">
        <f>SUM(L21:L63)</f>
        <v>1183.08</v>
      </c>
      <c r="M65" s="281"/>
      <c r="N65" s="207">
        <f>SUM(N21:N63)</f>
        <v>1844.53</v>
      </c>
      <c r="O65" s="281"/>
      <c r="P65" s="207">
        <f>SUM(P21:P63)</f>
        <v>3209.48</v>
      </c>
      <c r="Q65" s="207">
        <f>SUM(Q21:Q63)</f>
        <v>5054.01</v>
      </c>
      <c r="R65" s="306"/>
      <c r="S65" s="207">
        <f>SUM(S21:S63)</f>
        <v>185.73</v>
      </c>
    </row>
    <row r="66" spans="13:18" s="94" customFormat="1" ht="10.5" customHeight="1">
      <c r="M66" s="294"/>
      <c r="N66" s="291"/>
      <c r="O66" s="294"/>
      <c r="P66" s="291"/>
      <c r="Q66" s="291"/>
      <c r="R66" s="306"/>
    </row>
    <row r="67" spans="13:18" s="95" customFormat="1" ht="3" customHeight="1">
      <c r="M67" s="295"/>
      <c r="N67" s="295"/>
      <c r="O67" s="295"/>
      <c r="P67" s="295"/>
      <c r="Q67" s="295"/>
      <c r="R67" s="182"/>
    </row>
    <row r="68" spans="2:17" s="205" customFormat="1" ht="14.25" customHeight="1">
      <c r="B68" s="296"/>
      <c r="C68" s="296" t="s">
        <v>223</v>
      </c>
      <c r="D68" s="296"/>
      <c r="E68" s="296"/>
      <c r="F68" s="205" t="s">
        <v>224</v>
      </c>
      <c r="L68" s="296" t="s">
        <v>310</v>
      </c>
      <c r="M68" s="297"/>
      <c r="N68" s="297"/>
      <c r="O68" s="297"/>
      <c r="P68" s="297"/>
      <c r="Q68" s="297"/>
    </row>
    <row r="69" spans="2:17" s="95" customFormat="1" ht="10.5" customHeight="1">
      <c r="B69" s="205"/>
      <c r="C69" s="205" t="s">
        <v>232</v>
      </c>
      <c r="D69" s="205"/>
      <c r="E69" s="205"/>
      <c r="G69" s="205" t="s">
        <v>382</v>
      </c>
      <c r="H69" s="205"/>
      <c r="I69" s="298" t="s">
        <v>383</v>
      </c>
      <c r="J69" s="298"/>
      <c r="L69" s="298" t="s">
        <v>306</v>
      </c>
      <c r="M69" s="299"/>
      <c r="N69" s="262" t="s">
        <v>377</v>
      </c>
      <c r="O69" s="299"/>
      <c r="P69" s="300"/>
      <c r="Q69" s="299"/>
    </row>
    <row r="70" spans="2:17" s="95" customFormat="1" ht="10.5" customHeight="1">
      <c r="B70" s="205"/>
      <c r="C70" s="205" t="s">
        <v>232</v>
      </c>
      <c r="D70" s="205"/>
      <c r="E70" s="205"/>
      <c r="F70" s="205"/>
      <c r="G70" s="205" t="s">
        <v>381</v>
      </c>
      <c r="H70" s="205"/>
      <c r="I70" s="298" t="s">
        <v>384</v>
      </c>
      <c r="J70" s="298"/>
      <c r="L70" s="298" t="s">
        <v>307</v>
      </c>
      <c r="M70" s="299"/>
      <c r="N70" s="262" t="s">
        <v>377</v>
      </c>
      <c r="O70" s="299"/>
      <c r="P70" s="300"/>
      <c r="Q70" s="299"/>
    </row>
    <row r="71" spans="2:17" s="95" customFormat="1" ht="10.5" customHeight="1">
      <c r="B71" s="205"/>
      <c r="C71" s="205" t="s">
        <v>233</v>
      </c>
      <c r="D71" s="205"/>
      <c r="E71" s="205"/>
      <c r="F71" s="205"/>
      <c r="G71" s="205" t="s">
        <v>380</v>
      </c>
      <c r="H71" s="205"/>
      <c r="I71" s="298" t="s">
        <v>383</v>
      </c>
      <c r="J71" s="298"/>
      <c r="L71" s="298" t="s">
        <v>308</v>
      </c>
      <c r="M71" s="42"/>
      <c r="N71" s="262" t="s">
        <v>377</v>
      </c>
      <c r="O71" s="42"/>
      <c r="P71" s="300"/>
      <c r="Q71" s="42"/>
    </row>
    <row r="72" spans="3:14" ht="10.5" customHeight="1">
      <c r="C72" s="205" t="s">
        <v>234</v>
      </c>
      <c r="D72" s="205"/>
      <c r="G72" s="205" t="s">
        <v>379</v>
      </c>
      <c r="I72" s="298" t="s">
        <v>385</v>
      </c>
      <c r="L72" s="298" t="s">
        <v>309</v>
      </c>
      <c r="N72" s="262" t="s">
        <v>377</v>
      </c>
    </row>
    <row r="73" spans="3:9" ht="10.5" customHeight="1">
      <c r="C73" s="205" t="s">
        <v>235</v>
      </c>
      <c r="D73" s="205"/>
      <c r="G73" s="205" t="s">
        <v>378</v>
      </c>
      <c r="I73" s="298" t="s">
        <v>383</v>
      </c>
    </row>
    <row r="74" spans="3:4" ht="12.75">
      <c r="C74" s="205"/>
      <c r="D74" s="205"/>
    </row>
    <row r="75" spans="9:10" ht="12.75">
      <c r="I75" s="232"/>
      <c r="J75" s="232" t="s">
        <v>373</v>
      </c>
    </row>
    <row r="76" spans="9:10" ht="12.75">
      <c r="I76" s="421" t="s">
        <v>374</v>
      </c>
      <c r="J76" s="232"/>
    </row>
  </sheetData>
  <sheetProtection/>
  <hyperlinks>
    <hyperlink ref="I76" r:id="rId1" display="www.sentenca.com.br"/>
  </hyperlinks>
  <printOptions/>
  <pageMargins left="0.5905511811023623" right="0.3937007874015748" top="0.7874015748031497" bottom="0.5905511811023623" header="0.31496062992125984" footer="0.31496062992125984"/>
  <pageSetup horizontalDpi="600" verticalDpi="600" orientation="landscape" paperSize="9" scale="95" r:id="rId2"/>
  <headerFooter>
    <oddHeader>&amp;R
&amp;"Tahoma,Normal"&amp;8Anexo: 03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7109375" style="38" customWidth="1"/>
    <col min="2" max="2" width="15.00390625" style="38" customWidth="1"/>
    <col min="3" max="3" width="11.28125" style="38" customWidth="1"/>
    <col min="4" max="4" width="13.28125" style="38" customWidth="1"/>
    <col min="5" max="6" width="13.7109375" style="38" customWidth="1"/>
    <col min="7" max="7" width="11.421875" style="38" customWidth="1"/>
    <col min="8" max="8" width="14.421875" style="38" customWidth="1"/>
    <col min="9" max="16384" width="9.140625" style="38" customWidth="1"/>
  </cols>
  <sheetData>
    <row r="1" spans="1:4" s="420" customFormat="1" ht="14.25" customHeight="1">
      <c r="A1" s="419" t="s">
        <v>391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spans="1:7" s="95" customFormat="1" ht="10.5" customHeight="1">
      <c r="A4" s="40" t="s">
        <v>240</v>
      </c>
      <c r="B4" s="40"/>
      <c r="C4" s="40"/>
      <c r="D4" s="40"/>
      <c r="E4" s="40"/>
      <c r="F4" s="40"/>
      <c r="G4" s="40"/>
    </row>
    <row r="5" spans="1:7" ht="10.5" customHeight="1">
      <c r="A5" s="260"/>
      <c r="B5" s="40"/>
      <c r="C5" s="40"/>
      <c r="D5" s="40"/>
      <c r="E5" s="40"/>
      <c r="F5" s="40"/>
      <c r="G5" s="40"/>
    </row>
    <row r="6" spans="1:5" s="1" customFormat="1" ht="10.5" customHeight="1">
      <c r="A6" s="1" t="s">
        <v>367</v>
      </c>
      <c r="B6" s="181"/>
      <c r="C6" s="181"/>
      <c r="D6" s="181"/>
      <c r="E6" s="339"/>
    </row>
    <row r="7" spans="1:5" s="1" customFormat="1" ht="10.5" customHeight="1">
      <c r="A7" s="1" t="s">
        <v>368</v>
      </c>
      <c r="B7" s="181"/>
      <c r="C7" s="181"/>
      <c r="D7" s="181"/>
      <c r="E7" s="339"/>
    </row>
    <row r="8" spans="1:5" s="2" customFormat="1" ht="10.5" customHeight="1">
      <c r="A8" s="2" t="s">
        <v>375</v>
      </c>
      <c r="B8" s="422"/>
      <c r="C8" s="422"/>
      <c r="D8" s="422"/>
      <c r="E8" s="423"/>
    </row>
    <row r="9" spans="1:5" s="1" customFormat="1" ht="10.5" customHeight="1">
      <c r="A9" s="1" t="s">
        <v>393</v>
      </c>
      <c r="B9" s="181"/>
      <c r="C9" s="181"/>
      <c r="D9" s="181"/>
      <c r="E9" s="181"/>
    </row>
    <row r="10" spans="1:7" ht="15" customHeight="1" thickBot="1">
      <c r="A10" s="42"/>
      <c r="B10" s="42"/>
      <c r="C10" s="42"/>
      <c r="D10" s="42"/>
      <c r="E10" s="42"/>
      <c r="F10" s="42"/>
      <c r="G10" s="42"/>
    </row>
    <row r="11" spans="1:8" ht="10.5" customHeight="1" thickBot="1" thickTop="1">
      <c r="A11" s="43" t="s">
        <v>1</v>
      </c>
      <c r="B11" s="44" t="s">
        <v>2</v>
      </c>
      <c r="C11" s="125" t="s">
        <v>3</v>
      </c>
      <c r="D11" s="125" t="s">
        <v>4</v>
      </c>
      <c r="E11" s="125" t="s">
        <v>5</v>
      </c>
      <c r="F11" s="125" t="s">
        <v>6</v>
      </c>
      <c r="G11" s="125" t="s">
        <v>7</v>
      </c>
      <c r="H11" s="125" t="s">
        <v>8</v>
      </c>
    </row>
    <row r="12" spans="1:8" s="138" customFormat="1" ht="10.5" customHeight="1" thickBot="1" thickTop="1">
      <c r="A12" s="45"/>
      <c r="B12" s="45"/>
      <c r="C12" s="45"/>
      <c r="D12" s="294"/>
      <c r="E12" s="294"/>
      <c r="F12" s="294"/>
      <c r="G12" s="294"/>
      <c r="H12" s="294"/>
    </row>
    <row r="13" spans="1:8" ht="10.5" customHeight="1" thickTop="1">
      <c r="A13" s="46" t="s">
        <v>9</v>
      </c>
      <c r="B13" s="65" t="s">
        <v>59</v>
      </c>
      <c r="C13" s="65" t="s">
        <v>249</v>
      </c>
      <c r="D13" s="324" t="s">
        <v>11</v>
      </c>
      <c r="E13" s="47" t="s">
        <v>15</v>
      </c>
      <c r="F13" s="34" t="s">
        <v>52</v>
      </c>
      <c r="G13" s="47" t="s">
        <v>17</v>
      </c>
      <c r="H13" s="48" t="s">
        <v>18</v>
      </c>
    </row>
    <row r="14" spans="1:8" ht="10.5" customHeight="1">
      <c r="A14" s="49"/>
      <c r="B14" s="66" t="s">
        <v>241</v>
      </c>
      <c r="C14" s="66" t="s">
        <v>250</v>
      </c>
      <c r="D14" s="323" t="s">
        <v>225</v>
      </c>
      <c r="E14" s="50" t="s">
        <v>14</v>
      </c>
      <c r="F14" s="14" t="s">
        <v>25</v>
      </c>
      <c r="G14" s="50" t="s">
        <v>21</v>
      </c>
      <c r="H14" s="51" t="s">
        <v>22</v>
      </c>
    </row>
    <row r="15" spans="1:8" ht="10.5" customHeight="1">
      <c r="A15" s="49"/>
      <c r="B15" s="66" t="s">
        <v>244</v>
      </c>
      <c r="C15" s="66" t="s">
        <v>247</v>
      </c>
      <c r="D15" s="323" t="s">
        <v>277</v>
      </c>
      <c r="E15" s="50" t="s">
        <v>24</v>
      </c>
      <c r="F15" s="36" t="s">
        <v>27</v>
      </c>
      <c r="G15" s="50" t="s">
        <v>16</v>
      </c>
      <c r="H15" s="51" t="s">
        <v>169</v>
      </c>
    </row>
    <row r="16" spans="1:8" ht="10.5" customHeight="1">
      <c r="A16" s="49"/>
      <c r="B16" s="66" t="s">
        <v>242</v>
      </c>
      <c r="C16" s="66" t="s">
        <v>248</v>
      </c>
      <c r="D16" s="323" t="s">
        <v>255</v>
      </c>
      <c r="E16" s="50"/>
      <c r="F16" s="37" t="s">
        <v>28</v>
      </c>
      <c r="G16" s="50"/>
      <c r="H16" s="51" t="s">
        <v>157</v>
      </c>
    </row>
    <row r="17" spans="1:8" ht="10.5" customHeight="1">
      <c r="A17" s="49"/>
      <c r="B17" s="66" t="s">
        <v>243</v>
      </c>
      <c r="C17" s="66"/>
      <c r="D17" s="349" t="s">
        <v>179</v>
      </c>
      <c r="E17" s="50"/>
      <c r="F17" s="37" t="s">
        <v>358</v>
      </c>
      <c r="G17" s="50"/>
      <c r="H17" s="52" t="s">
        <v>226</v>
      </c>
    </row>
    <row r="18" spans="1:8" ht="10.5" customHeight="1" thickBot="1">
      <c r="A18" s="53"/>
      <c r="B18" s="68" t="s">
        <v>255</v>
      </c>
      <c r="C18" s="68" t="s">
        <v>251</v>
      </c>
      <c r="D18" s="350">
        <v>41944</v>
      </c>
      <c r="E18" s="54" t="s">
        <v>252</v>
      </c>
      <c r="F18" s="307" t="s">
        <v>156</v>
      </c>
      <c r="G18" s="54" t="s">
        <v>227</v>
      </c>
      <c r="H18" s="55" t="s">
        <v>253</v>
      </c>
    </row>
    <row r="19" spans="1:8" s="138" customFormat="1" ht="10.5" customHeight="1" thickTop="1">
      <c r="A19" s="277"/>
      <c r="B19" s="277"/>
      <c r="C19" s="277"/>
      <c r="D19" s="280"/>
      <c r="E19" s="281"/>
      <c r="F19" s="281"/>
      <c r="G19" s="294"/>
      <c r="H19" s="281"/>
    </row>
    <row r="20" spans="1:8" ht="10.5" customHeight="1">
      <c r="A20" s="308">
        <v>36081</v>
      </c>
      <c r="B20" s="309">
        <v>271</v>
      </c>
      <c r="C20" s="309">
        <f>B20*1%</f>
        <v>2.71</v>
      </c>
      <c r="D20" s="56">
        <f>Plan1!G43</f>
        <v>1.38953511</v>
      </c>
      <c r="E20" s="285">
        <f>C20*D20</f>
        <v>3.77</v>
      </c>
      <c r="F20" s="286">
        <f>'03'!O21</f>
        <v>174</v>
      </c>
      <c r="G20" s="285">
        <f>(E20*F20%)</f>
        <v>6.56</v>
      </c>
      <c r="H20" s="287">
        <f>E20+G20</f>
        <v>10.33</v>
      </c>
    </row>
    <row r="21" ht="10.5" customHeight="1"/>
    <row r="23" spans="4:5" s="325" customFormat="1" ht="11.25">
      <c r="D23" s="310"/>
      <c r="E23" s="310" t="s">
        <v>254</v>
      </c>
    </row>
    <row r="24" s="310" customFormat="1" ht="11.25">
      <c r="E24" s="310" t="s">
        <v>245</v>
      </c>
    </row>
    <row r="25" s="310" customFormat="1" ht="11.25">
      <c r="E25" s="310" t="s">
        <v>246</v>
      </c>
    </row>
    <row r="26" s="310" customFormat="1" ht="21" customHeight="1"/>
    <row r="27" spans="4:7" ht="12.75">
      <c r="D27" s="232"/>
      <c r="E27" s="232"/>
      <c r="F27" s="232"/>
      <c r="G27" s="232" t="s">
        <v>373</v>
      </c>
    </row>
    <row r="28" spans="4:7" ht="12.75">
      <c r="D28" s="421"/>
      <c r="E28" s="232"/>
      <c r="F28" s="421" t="s">
        <v>374</v>
      </c>
      <c r="G28" s="232"/>
    </row>
  </sheetData>
  <sheetProtection/>
  <hyperlinks>
    <hyperlink ref="F28" r:id="rId1" display="www.sentenca.com.br"/>
  </hyperlinks>
  <printOptions/>
  <pageMargins left="1.6929133858267718" right="0.5118110236220472" top="1.1811023622047245" bottom="0.7874015748031497" header="0.31496062992125984" footer="0.31496062992125984"/>
  <pageSetup horizontalDpi="600" verticalDpi="600" orientation="landscape" paperSize="9" r:id="rId2"/>
  <headerFooter>
    <oddHeader>&amp;R
&amp;"Tahoma,Normal"&amp;8Anexo: 04
Folha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60" sqref="A60:IV60"/>
    </sheetView>
  </sheetViews>
  <sheetFormatPr defaultColWidth="9.140625" defaultRowHeight="12.75"/>
  <cols>
    <col min="1" max="1" width="7.8515625" style="377" customWidth="1"/>
    <col min="2" max="2" width="12.140625" style="383" customWidth="1"/>
    <col min="3" max="3" width="10.00390625" style="38" customWidth="1"/>
    <col min="4" max="4" width="9.57421875" style="38" customWidth="1"/>
    <col min="5" max="5" width="10.140625" style="38" customWidth="1"/>
    <col min="6" max="6" width="12.8515625" style="38" customWidth="1"/>
    <col min="7" max="8" width="9.421875" style="38" customWidth="1"/>
    <col min="9" max="9" width="10.421875" style="398" customWidth="1"/>
    <col min="10" max="10" width="9.28125" style="38" customWidth="1"/>
    <col min="11" max="11" width="12.28125" style="38" customWidth="1"/>
    <col min="12" max="12" width="9.8515625" style="38" customWidth="1"/>
    <col min="13" max="13" width="11.140625" style="38" customWidth="1"/>
    <col min="14" max="16384" width="9.140625" style="38" customWidth="1"/>
  </cols>
  <sheetData>
    <row r="1" spans="1:4" s="420" customFormat="1" ht="14.25" customHeight="1">
      <c r="A1" s="419" t="s">
        <v>392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spans="1:9" s="95" customFormat="1" ht="10.5" customHeight="1">
      <c r="A4" s="366" t="s">
        <v>404</v>
      </c>
      <c r="B4" s="378"/>
      <c r="C4" s="40"/>
      <c r="D4" s="306"/>
      <c r="E4" s="306"/>
      <c r="F4" s="40"/>
      <c r="I4" s="399"/>
    </row>
    <row r="5" spans="1:9" s="1" customFormat="1" ht="10.5" customHeight="1">
      <c r="A5" s="367" t="s">
        <v>405</v>
      </c>
      <c r="B5" s="393"/>
      <c r="D5" s="181"/>
      <c r="E5" s="181"/>
      <c r="I5" s="400"/>
    </row>
    <row r="6" spans="1:9" s="205" customFormat="1" ht="10.5" customHeight="1">
      <c r="A6" s="368" t="s">
        <v>357</v>
      </c>
      <c r="B6" s="394"/>
      <c r="C6" s="41"/>
      <c r="D6" s="384"/>
      <c r="E6" s="384"/>
      <c r="F6" s="41"/>
      <c r="G6" s="41"/>
      <c r="H6" s="41"/>
      <c r="I6" s="401"/>
    </row>
    <row r="7" spans="1:6" ht="10.5" customHeight="1">
      <c r="A7" s="369"/>
      <c r="B7" s="378"/>
      <c r="C7" s="40"/>
      <c r="D7" s="306"/>
      <c r="E7" s="306"/>
      <c r="F7" s="40"/>
    </row>
    <row r="8" spans="1:5" s="1" customFormat="1" ht="10.5" customHeight="1">
      <c r="A8" s="1" t="s">
        <v>367</v>
      </c>
      <c r="B8" s="181"/>
      <c r="C8" s="181"/>
      <c r="D8" s="181"/>
      <c r="E8" s="339"/>
    </row>
    <row r="9" spans="1:5" s="1" customFormat="1" ht="10.5" customHeight="1">
      <c r="A9" s="1" t="s">
        <v>368</v>
      </c>
      <c r="B9" s="181"/>
      <c r="C9" s="181"/>
      <c r="D9" s="181"/>
      <c r="E9" s="339"/>
    </row>
    <row r="10" spans="1:5" s="2" customFormat="1" ht="10.5" customHeight="1">
      <c r="A10" s="2" t="s">
        <v>375</v>
      </c>
      <c r="B10" s="422"/>
      <c r="C10" s="422"/>
      <c r="D10" s="422"/>
      <c r="E10" s="423"/>
    </row>
    <row r="11" spans="1:5" s="1" customFormat="1" ht="10.5" customHeight="1">
      <c r="A11" s="1" t="s">
        <v>359</v>
      </c>
      <c r="B11" s="181"/>
      <c r="C11" s="181"/>
      <c r="D11" s="181"/>
      <c r="E11" s="181"/>
    </row>
    <row r="12" spans="1:6" ht="15" customHeight="1" thickBot="1">
      <c r="A12" s="370"/>
      <c r="B12" s="395"/>
      <c r="C12" s="42"/>
      <c r="D12" s="385"/>
      <c r="E12" s="385"/>
      <c r="F12" s="42"/>
    </row>
    <row r="13" spans="1:13" ht="10.5" customHeight="1" thickBot="1" thickTop="1">
      <c r="A13" s="371" t="s">
        <v>1</v>
      </c>
      <c r="B13" s="44" t="s">
        <v>2</v>
      </c>
      <c r="C13" s="386" t="s">
        <v>3</v>
      </c>
      <c r="D13" s="125" t="s">
        <v>4</v>
      </c>
      <c r="E13" s="125" t="s">
        <v>5</v>
      </c>
      <c r="F13" s="125" t="s">
        <v>6</v>
      </c>
      <c r="G13" s="125" t="s">
        <v>7</v>
      </c>
      <c r="H13" s="125" t="s">
        <v>8</v>
      </c>
      <c r="I13" s="402" t="s">
        <v>13</v>
      </c>
      <c r="J13" s="44" t="s">
        <v>48</v>
      </c>
      <c r="K13" s="44" t="s">
        <v>49</v>
      </c>
      <c r="L13" s="263" t="s">
        <v>50</v>
      </c>
      <c r="M13" s="263" t="s">
        <v>159</v>
      </c>
    </row>
    <row r="14" spans="1:12" s="138" customFormat="1" ht="10.5" customHeight="1" thickBot="1" thickTop="1">
      <c r="A14" s="372"/>
      <c r="B14" s="382"/>
      <c r="C14" s="45"/>
      <c r="D14" s="387"/>
      <c r="E14" s="387"/>
      <c r="F14" s="294"/>
      <c r="G14" s="294"/>
      <c r="H14" s="294"/>
      <c r="I14" s="403"/>
      <c r="J14" s="42"/>
      <c r="K14" s="42"/>
      <c r="L14" s="42"/>
    </row>
    <row r="15" spans="1:13" ht="10.5" customHeight="1" thickTop="1">
      <c r="A15" s="373" t="s">
        <v>322</v>
      </c>
      <c r="B15" s="379" t="s">
        <v>319</v>
      </c>
      <c r="C15" s="65" t="s">
        <v>10</v>
      </c>
      <c r="D15" s="388" t="s">
        <v>313</v>
      </c>
      <c r="E15" s="388" t="s">
        <v>318</v>
      </c>
      <c r="F15" s="47" t="s">
        <v>334</v>
      </c>
      <c r="G15" s="47" t="s">
        <v>316</v>
      </c>
      <c r="H15" s="324" t="s">
        <v>58</v>
      </c>
      <c r="I15" s="404" t="s">
        <v>11</v>
      </c>
      <c r="J15" s="47" t="s">
        <v>15</v>
      </c>
      <c r="K15" s="47" t="s">
        <v>52</v>
      </c>
      <c r="L15" s="47" t="s">
        <v>17</v>
      </c>
      <c r="M15" s="266" t="s">
        <v>18</v>
      </c>
    </row>
    <row r="16" spans="1:13" ht="10.5" customHeight="1">
      <c r="A16" s="374" t="s">
        <v>61</v>
      </c>
      <c r="B16" s="380" t="s">
        <v>323</v>
      </c>
      <c r="C16" s="66" t="s">
        <v>168</v>
      </c>
      <c r="D16" s="389" t="s">
        <v>314</v>
      </c>
      <c r="E16" s="389" t="s">
        <v>155</v>
      </c>
      <c r="F16" s="50" t="s">
        <v>337</v>
      </c>
      <c r="G16" s="50" t="s">
        <v>317</v>
      </c>
      <c r="H16" s="323"/>
      <c r="I16" s="405" t="s">
        <v>20</v>
      </c>
      <c r="J16" s="50" t="s">
        <v>14</v>
      </c>
      <c r="K16" s="50" t="s">
        <v>25</v>
      </c>
      <c r="L16" s="50" t="s">
        <v>21</v>
      </c>
      <c r="M16" s="269" t="s">
        <v>22</v>
      </c>
    </row>
    <row r="17" spans="1:13" ht="10.5" customHeight="1">
      <c r="A17" s="374" t="s">
        <v>320</v>
      </c>
      <c r="B17" s="380" t="s">
        <v>339</v>
      </c>
      <c r="C17" s="66" t="s">
        <v>275</v>
      </c>
      <c r="D17" s="389" t="s">
        <v>349</v>
      </c>
      <c r="E17" s="389" t="s">
        <v>314</v>
      </c>
      <c r="F17" s="50" t="s">
        <v>315</v>
      </c>
      <c r="G17" s="229"/>
      <c r="H17" s="364"/>
      <c r="I17" s="405" t="s">
        <v>23</v>
      </c>
      <c r="J17" s="50" t="s">
        <v>24</v>
      </c>
      <c r="K17" s="229" t="s">
        <v>27</v>
      </c>
      <c r="L17" s="50" t="s">
        <v>16</v>
      </c>
      <c r="M17" s="269" t="s">
        <v>304</v>
      </c>
    </row>
    <row r="18" spans="1:13" ht="10.5" customHeight="1">
      <c r="A18" s="374" t="s">
        <v>321</v>
      </c>
      <c r="B18" s="380" t="s">
        <v>340</v>
      </c>
      <c r="C18" s="66" t="s">
        <v>312</v>
      </c>
      <c r="D18" s="389" t="s">
        <v>350</v>
      </c>
      <c r="E18" s="389" t="s">
        <v>355</v>
      </c>
      <c r="F18" s="50" t="s">
        <v>335</v>
      </c>
      <c r="G18" s="229"/>
      <c r="H18" s="364"/>
      <c r="I18" s="405" t="s">
        <v>26</v>
      </c>
      <c r="J18" s="50"/>
      <c r="K18" s="230" t="s">
        <v>28</v>
      </c>
      <c r="L18" s="50"/>
      <c r="M18" s="272" t="s">
        <v>305</v>
      </c>
    </row>
    <row r="19" spans="1:13" ht="10.5" customHeight="1">
      <c r="A19" s="374"/>
      <c r="B19" s="380" t="s">
        <v>341</v>
      </c>
      <c r="C19" s="66"/>
      <c r="D19" s="389" t="s">
        <v>351</v>
      </c>
      <c r="E19" s="389" t="s">
        <v>356</v>
      </c>
      <c r="F19" s="50" t="s">
        <v>336</v>
      </c>
      <c r="G19" s="50"/>
      <c r="H19" s="323"/>
      <c r="I19" s="271">
        <v>41944</v>
      </c>
      <c r="J19" s="363"/>
      <c r="K19" s="396" t="s">
        <v>179</v>
      </c>
      <c r="L19" s="50"/>
      <c r="M19" s="360" t="s">
        <v>281</v>
      </c>
    </row>
    <row r="20" spans="1:13" ht="10.5" customHeight="1">
      <c r="A20" s="374"/>
      <c r="B20" s="380" t="s">
        <v>324</v>
      </c>
      <c r="C20" s="66"/>
      <c r="D20" s="389" t="s">
        <v>352</v>
      </c>
      <c r="E20" s="389" t="s">
        <v>351</v>
      </c>
      <c r="F20" s="50" t="s">
        <v>313</v>
      </c>
      <c r="G20" s="50"/>
      <c r="H20" s="323"/>
      <c r="I20" s="406"/>
      <c r="J20" s="363"/>
      <c r="K20" s="271">
        <v>41944</v>
      </c>
      <c r="L20" s="50"/>
      <c r="M20" s="361">
        <v>41944</v>
      </c>
    </row>
    <row r="21" spans="1:13" ht="10.5" customHeight="1" thickBot="1">
      <c r="A21" s="375"/>
      <c r="B21" s="381"/>
      <c r="C21" s="68"/>
      <c r="D21" s="390"/>
      <c r="E21" s="390"/>
      <c r="F21" s="54" t="s">
        <v>348</v>
      </c>
      <c r="G21" s="54"/>
      <c r="H21" s="365" t="s">
        <v>347</v>
      </c>
      <c r="I21" s="407"/>
      <c r="J21" s="54" t="s">
        <v>346</v>
      </c>
      <c r="K21" s="231"/>
      <c r="L21" s="356" t="s">
        <v>353</v>
      </c>
      <c r="M21" s="362" t="s">
        <v>354</v>
      </c>
    </row>
    <row r="22" spans="1:9" s="138" customFormat="1" ht="10.5" customHeight="1" thickTop="1">
      <c r="A22" s="372"/>
      <c r="B22" s="382"/>
      <c r="C22" s="277"/>
      <c r="D22" s="391"/>
      <c r="E22" s="391"/>
      <c r="F22" s="281"/>
      <c r="G22" s="281"/>
      <c r="H22" s="281"/>
      <c r="I22" s="408"/>
    </row>
    <row r="23" spans="1:13" ht="10.5" customHeight="1">
      <c r="A23" s="376">
        <v>36870</v>
      </c>
      <c r="B23" s="397" t="s">
        <v>325</v>
      </c>
      <c r="C23" s="309">
        <f>'01'!F87</f>
        <v>1485.52</v>
      </c>
      <c r="D23" s="392">
        <v>1750</v>
      </c>
      <c r="E23" s="392">
        <v>10</v>
      </c>
      <c r="F23" s="285">
        <f aca="true" t="shared" si="0" ref="F23:F29">C23*E23%</f>
        <v>148.55</v>
      </c>
      <c r="G23" s="287">
        <v>0</v>
      </c>
      <c r="H23" s="287">
        <f>F23+G23</f>
        <v>148.55</v>
      </c>
      <c r="I23" s="409">
        <f>Plan1!I45</f>
        <v>1.26001361</v>
      </c>
      <c r="J23" s="287">
        <f>H23*I23</f>
        <v>187.18</v>
      </c>
      <c r="K23" s="412">
        <f>(1/30*22)+12+12+12+12+12+12+12+12+12+12+12+12+12+10</f>
        <v>166.73</v>
      </c>
      <c r="L23" s="287">
        <f>J23*K23%</f>
        <v>312.09</v>
      </c>
      <c r="M23" s="287">
        <f>J23+L23</f>
        <v>499.27</v>
      </c>
    </row>
    <row r="24" spans="1:13" ht="10.5" customHeight="1">
      <c r="A24" s="376">
        <v>36932</v>
      </c>
      <c r="B24" s="397" t="str">
        <f>B23</f>
        <v>Outubro/2000</v>
      </c>
      <c r="C24" s="309">
        <f>C23</f>
        <v>1485.52</v>
      </c>
      <c r="D24" s="392">
        <v>1750</v>
      </c>
      <c r="E24" s="392">
        <v>10</v>
      </c>
      <c r="F24" s="285">
        <f t="shared" si="0"/>
        <v>148.55</v>
      </c>
      <c r="G24" s="287">
        <v>0</v>
      </c>
      <c r="H24" s="287">
        <f>F24+G24</f>
        <v>148.55</v>
      </c>
      <c r="I24" s="409">
        <f>Plan1!J35</f>
        <v>1.25704527</v>
      </c>
      <c r="J24" s="287">
        <f aca="true" t="shared" si="1" ref="J24:J56">H24*I24</f>
        <v>186.73</v>
      </c>
      <c r="K24" s="412">
        <f>(1/30*19)+10+12+12+12+12+12+12+12+12+12+12+12+12+10</f>
        <v>164.63</v>
      </c>
      <c r="L24" s="287">
        <f aca="true" t="shared" si="2" ref="L24:L56">J24*K24%</f>
        <v>307.41</v>
      </c>
      <c r="M24" s="287">
        <f aca="true" t="shared" si="3" ref="M24:M56">J24+L24</f>
        <v>494.14</v>
      </c>
    </row>
    <row r="25" spans="1:13" ht="10.5" customHeight="1">
      <c r="A25" s="376">
        <v>37235</v>
      </c>
      <c r="B25" s="397" t="s">
        <v>326</v>
      </c>
      <c r="C25" s="309">
        <f>'01'!F99</f>
        <v>1604.56</v>
      </c>
      <c r="D25" s="392">
        <v>1980</v>
      </c>
      <c r="E25" s="392">
        <v>11</v>
      </c>
      <c r="F25" s="285">
        <f t="shared" si="0"/>
        <v>176.5</v>
      </c>
      <c r="G25" s="287">
        <v>0</v>
      </c>
      <c r="H25" s="287">
        <f aca="true" t="shared" si="4" ref="H25:H42">F25+G25</f>
        <v>176.5</v>
      </c>
      <c r="I25" s="409">
        <f>Plan1!J45</f>
        <v>1.2330832</v>
      </c>
      <c r="J25" s="287">
        <f t="shared" si="1"/>
        <v>217.64</v>
      </c>
      <c r="K25" s="412">
        <f>(1/30*22)+12+12+12+12+12+12+12+12+12+12+12+12+10</f>
        <v>154.73</v>
      </c>
      <c r="L25" s="287">
        <f t="shared" si="2"/>
        <v>336.75</v>
      </c>
      <c r="M25" s="287">
        <f t="shared" si="3"/>
        <v>554.39</v>
      </c>
    </row>
    <row r="26" spans="1:13" ht="10.5" customHeight="1">
      <c r="A26" s="376">
        <v>37297</v>
      </c>
      <c r="B26" s="397" t="str">
        <f>B25</f>
        <v>Outubro/2001</v>
      </c>
      <c r="C26" s="309">
        <v>1604.56</v>
      </c>
      <c r="D26" s="392">
        <v>1980</v>
      </c>
      <c r="E26" s="392">
        <v>10</v>
      </c>
      <c r="F26" s="285">
        <f t="shared" si="0"/>
        <v>160.46</v>
      </c>
      <c r="G26" s="287">
        <v>0</v>
      </c>
      <c r="H26" s="287">
        <f t="shared" si="4"/>
        <v>160.46</v>
      </c>
      <c r="I26" s="409">
        <f>Plan1!K35</f>
        <v>1.22746248</v>
      </c>
      <c r="J26" s="287">
        <f t="shared" si="1"/>
        <v>196.96</v>
      </c>
      <c r="K26" s="412">
        <f>(1/30*19)+10+12+12+12+12+12+12+12+12+12+12+12+10</f>
        <v>152.63</v>
      </c>
      <c r="L26" s="287">
        <f t="shared" si="2"/>
        <v>300.62</v>
      </c>
      <c r="M26" s="287">
        <f t="shared" si="3"/>
        <v>497.58</v>
      </c>
    </row>
    <row r="27" spans="1:13" ht="10.5" customHeight="1">
      <c r="A27" s="376">
        <v>37595</v>
      </c>
      <c r="B27" s="397" t="s">
        <v>327</v>
      </c>
      <c r="C27" s="309">
        <f>'01'!F111</f>
        <v>1736</v>
      </c>
      <c r="D27" s="392">
        <v>2200</v>
      </c>
      <c r="E27" s="392">
        <v>10</v>
      </c>
      <c r="F27" s="285">
        <f t="shared" si="0"/>
        <v>173.6</v>
      </c>
      <c r="G27" s="287">
        <v>0</v>
      </c>
      <c r="H27" s="287">
        <f t="shared" si="4"/>
        <v>173.6</v>
      </c>
      <c r="I27" s="409">
        <f>Plan1!K45</f>
        <v>1.20141411</v>
      </c>
      <c r="J27" s="287">
        <f t="shared" si="1"/>
        <v>208.57</v>
      </c>
      <c r="K27" s="412">
        <f>(1/30*27)+12+12+12+12+12+12+12+12+12+12+12+10</f>
        <v>142.9</v>
      </c>
      <c r="L27" s="287">
        <f t="shared" si="2"/>
        <v>298.05</v>
      </c>
      <c r="M27" s="287">
        <f t="shared" si="3"/>
        <v>506.62</v>
      </c>
    </row>
    <row r="28" spans="1:13" ht="10.5" customHeight="1">
      <c r="A28" s="376">
        <v>37606</v>
      </c>
      <c r="B28" s="397" t="str">
        <f>B27</f>
        <v>Outubro/2002</v>
      </c>
      <c r="C28" s="309">
        <f>C27</f>
        <v>1736</v>
      </c>
      <c r="D28" s="392">
        <v>2200</v>
      </c>
      <c r="E28" s="392">
        <v>10</v>
      </c>
      <c r="F28" s="285">
        <f t="shared" si="0"/>
        <v>173.6</v>
      </c>
      <c r="G28" s="287">
        <v>0</v>
      </c>
      <c r="H28" s="287">
        <f t="shared" si="4"/>
        <v>173.6</v>
      </c>
      <c r="I28" s="409">
        <f>I27</f>
        <v>1.20141411</v>
      </c>
      <c r="J28" s="287">
        <f t="shared" si="1"/>
        <v>208.57</v>
      </c>
      <c r="K28" s="412">
        <f>(1/30*16)+12+12+12+12+12+12+12+12+12+12+12+10</f>
        <v>142.53</v>
      </c>
      <c r="L28" s="287">
        <f t="shared" si="2"/>
        <v>297.27</v>
      </c>
      <c r="M28" s="287">
        <f t="shared" si="3"/>
        <v>505.84</v>
      </c>
    </row>
    <row r="29" spans="1:13" ht="10.5" customHeight="1">
      <c r="A29" s="376">
        <v>37627</v>
      </c>
      <c r="B29" s="397" t="str">
        <f>B28</f>
        <v>Outubro/2002</v>
      </c>
      <c r="C29" s="309">
        <f>C28</f>
        <v>1736</v>
      </c>
      <c r="D29" s="392">
        <v>2200</v>
      </c>
      <c r="E29" s="392">
        <v>10</v>
      </c>
      <c r="F29" s="285">
        <f t="shared" si="0"/>
        <v>173.6</v>
      </c>
      <c r="G29" s="287">
        <v>0</v>
      </c>
      <c r="H29" s="287">
        <f t="shared" si="4"/>
        <v>173.6</v>
      </c>
      <c r="I29" s="409">
        <f>Plan1!L34</f>
        <v>1.19709379</v>
      </c>
      <c r="J29" s="287">
        <f t="shared" si="1"/>
        <v>207.82</v>
      </c>
      <c r="K29" s="412">
        <f>(1/30*26)+11+12+12+12+12+12+12+12+12+12+12+10</f>
        <v>141.87</v>
      </c>
      <c r="L29" s="287">
        <f t="shared" si="2"/>
        <v>294.83</v>
      </c>
      <c r="M29" s="287">
        <f t="shared" si="3"/>
        <v>502.65</v>
      </c>
    </row>
    <row r="30" spans="1:13" ht="10.5" customHeight="1">
      <c r="A30" s="376">
        <v>37771</v>
      </c>
      <c r="B30" s="397" t="s">
        <v>345</v>
      </c>
      <c r="C30" s="309">
        <f>'01'!F118</f>
        <v>1914.56</v>
      </c>
      <c r="D30" s="392">
        <v>495</v>
      </c>
      <c r="E30" s="392">
        <v>22.5</v>
      </c>
      <c r="F30" s="285">
        <v>0</v>
      </c>
      <c r="G30" s="287">
        <f>C30*E30%</f>
        <v>430.78</v>
      </c>
      <c r="H30" s="287">
        <f t="shared" si="4"/>
        <v>430.78</v>
      </c>
      <c r="I30" s="409">
        <f>Plan1!L38</f>
        <v>1.17700485</v>
      </c>
      <c r="J30" s="287">
        <f t="shared" si="1"/>
        <v>507.03</v>
      </c>
      <c r="K30" s="412">
        <f>(1/30*2)+7+12+12+12+12+12+12+12+12+12+10</f>
        <v>125.07</v>
      </c>
      <c r="L30" s="287">
        <f t="shared" si="2"/>
        <v>634.14</v>
      </c>
      <c r="M30" s="287">
        <f t="shared" si="3"/>
        <v>1141.17</v>
      </c>
    </row>
    <row r="31" spans="1:13" ht="10.5" customHeight="1">
      <c r="A31" s="376">
        <v>37832</v>
      </c>
      <c r="B31" s="397" t="s">
        <v>345</v>
      </c>
      <c r="C31" s="309">
        <f>C30</f>
        <v>1914.56</v>
      </c>
      <c r="D31" s="392">
        <v>495</v>
      </c>
      <c r="E31" s="392">
        <v>22.5</v>
      </c>
      <c r="F31" s="285">
        <v>0</v>
      </c>
      <c r="G31" s="287">
        <f>C31*E31%</f>
        <v>430.78</v>
      </c>
      <c r="H31" s="287">
        <f t="shared" si="4"/>
        <v>430.78</v>
      </c>
      <c r="I31" s="409">
        <f>Plan1!L40</f>
        <v>1.16669665</v>
      </c>
      <c r="J31" s="287">
        <f t="shared" si="1"/>
        <v>502.59</v>
      </c>
      <c r="K31" s="412">
        <f>(1/30*2)+5+12+12+12+12+12+12+12+12+12+10</f>
        <v>123.07</v>
      </c>
      <c r="L31" s="287">
        <f t="shared" si="2"/>
        <v>618.54</v>
      </c>
      <c r="M31" s="287">
        <f t="shared" si="3"/>
        <v>1121.13</v>
      </c>
    </row>
    <row r="32" spans="1:13" ht="10.5" customHeight="1">
      <c r="A32" s="376">
        <v>37960</v>
      </c>
      <c r="B32" s="397" t="s">
        <v>328</v>
      </c>
      <c r="C32" s="309">
        <f>'01'!F114</f>
        <v>1914.56</v>
      </c>
      <c r="D32" s="392">
        <v>2600</v>
      </c>
      <c r="E32" s="392">
        <v>16</v>
      </c>
      <c r="F32" s="285">
        <f>C32*E32%</f>
        <v>306.33</v>
      </c>
      <c r="G32" s="287">
        <v>0</v>
      </c>
      <c r="H32" s="287">
        <f t="shared" si="4"/>
        <v>306.33</v>
      </c>
      <c r="I32" s="409">
        <f>Plan1!L45</f>
        <v>1.14608956</v>
      </c>
      <c r="J32" s="287">
        <f t="shared" si="1"/>
        <v>351.08</v>
      </c>
      <c r="K32" s="412">
        <f>(1/30*27)+12+12+12+12+12+12+12+12+12+12+10</f>
        <v>130.9</v>
      </c>
      <c r="L32" s="287">
        <f t="shared" si="2"/>
        <v>459.56</v>
      </c>
      <c r="M32" s="287">
        <f t="shared" si="3"/>
        <v>810.64</v>
      </c>
    </row>
    <row r="33" spans="1:13" ht="10.5" customHeight="1">
      <c r="A33" s="376">
        <v>37975</v>
      </c>
      <c r="B33" s="397" t="str">
        <f>B32</f>
        <v>Janeiro/2003</v>
      </c>
      <c r="C33" s="309">
        <f>C32</f>
        <v>1914.56</v>
      </c>
      <c r="D33" s="392">
        <v>2600</v>
      </c>
      <c r="E33" s="392">
        <v>15</v>
      </c>
      <c r="F33" s="285">
        <f aca="true" t="shared" si="5" ref="F33:F56">C33*E33%</f>
        <v>287.18</v>
      </c>
      <c r="G33" s="287">
        <v>0</v>
      </c>
      <c r="H33" s="287">
        <f t="shared" si="4"/>
        <v>287.18</v>
      </c>
      <c r="I33" s="409">
        <f>I32</f>
        <v>1.14608956</v>
      </c>
      <c r="J33" s="287">
        <f t="shared" si="1"/>
        <v>329.13</v>
      </c>
      <c r="K33" s="412">
        <f>(1/30*12)+12+12+12+12+12+12+12+12+12+12+10</f>
        <v>130.4</v>
      </c>
      <c r="L33" s="287">
        <f t="shared" si="2"/>
        <v>429.19</v>
      </c>
      <c r="M33" s="287">
        <f t="shared" si="3"/>
        <v>758.32</v>
      </c>
    </row>
    <row r="34" spans="1:13" ht="10.5" customHeight="1">
      <c r="A34" s="376">
        <v>38017</v>
      </c>
      <c r="B34" s="397" t="str">
        <f>B33</f>
        <v>Janeiro/2003</v>
      </c>
      <c r="C34" s="309">
        <f>C33</f>
        <v>1914.56</v>
      </c>
      <c r="D34" s="392">
        <v>2600</v>
      </c>
      <c r="E34" s="392">
        <v>15</v>
      </c>
      <c r="F34" s="285">
        <f t="shared" si="5"/>
        <v>287.18</v>
      </c>
      <c r="G34" s="287">
        <v>0</v>
      </c>
      <c r="H34" s="287">
        <f t="shared" si="4"/>
        <v>287.18</v>
      </c>
      <c r="I34" s="409">
        <f>Plan1!B47</f>
        <v>1.14391726</v>
      </c>
      <c r="J34" s="287">
        <f t="shared" si="1"/>
        <v>328.51</v>
      </c>
      <c r="K34" s="412">
        <f>(1/30*1)+11+12+12+12+12+12+12+12+12+12+10</f>
        <v>129.03</v>
      </c>
      <c r="L34" s="287">
        <f t="shared" si="2"/>
        <v>423.88</v>
      </c>
      <c r="M34" s="287">
        <f t="shared" si="3"/>
        <v>752.39</v>
      </c>
    </row>
    <row r="35" spans="1:13" ht="10.5" customHeight="1">
      <c r="A35" s="376">
        <v>38327</v>
      </c>
      <c r="B35" s="397" t="s">
        <v>329</v>
      </c>
      <c r="C35" s="309">
        <f>'01'!F126</f>
        <v>2229.52</v>
      </c>
      <c r="D35" s="392">
        <v>3000</v>
      </c>
      <c r="E35" s="392">
        <v>10</v>
      </c>
      <c r="F35" s="285">
        <f t="shared" si="5"/>
        <v>222.95</v>
      </c>
      <c r="G35" s="287">
        <v>0</v>
      </c>
      <c r="H35" s="287">
        <f t="shared" si="4"/>
        <v>222.95</v>
      </c>
      <c r="I35" s="409">
        <f>Plan1!B58</f>
        <v>1.12618393</v>
      </c>
      <c r="J35" s="287">
        <f t="shared" si="1"/>
        <v>251.08</v>
      </c>
      <c r="K35" s="412">
        <f>(1/30*26)+12+12+12+12+12+12+12+12+12+10</f>
        <v>118.87</v>
      </c>
      <c r="L35" s="287">
        <f t="shared" si="2"/>
        <v>298.46</v>
      </c>
      <c r="M35" s="287">
        <f t="shared" si="3"/>
        <v>549.54</v>
      </c>
    </row>
    <row r="36" spans="1:13" ht="10.5" customHeight="1">
      <c r="A36" s="376">
        <v>38338</v>
      </c>
      <c r="B36" s="397" t="str">
        <f>B35</f>
        <v>Janeiro/2004</v>
      </c>
      <c r="C36" s="309">
        <f>C35</f>
        <v>2229.52</v>
      </c>
      <c r="D36" s="392">
        <v>3000</v>
      </c>
      <c r="E36" s="392">
        <v>10</v>
      </c>
      <c r="F36" s="285">
        <f t="shared" si="5"/>
        <v>222.95</v>
      </c>
      <c r="G36" s="287">
        <v>0</v>
      </c>
      <c r="H36" s="287">
        <f t="shared" si="4"/>
        <v>222.95</v>
      </c>
      <c r="I36" s="409">
        <f>I35</f>
        <v>1.12618393</v>
      </c>
      <c r="J36" s="287">
        <f t="shared" si="1"/>
        <v>251.08</v>
      </c>
      <c r="K36" s="412">
        <f>(1/30*15)+12+12+12+12+12+12+12+12+12+10</f>
        <v>118.5</v>
      </c>
      <c r="L36" s="287">
        <f t="shared" si="2"/>
        <v>297.53</v>
      </c>
      <c r="M36" s="287">
        <f t="shared" si="3"/>
        <v>548.61</v>
      </c>
    </row>
    <row r="37" spans="1:13" ht="10.5" customHeight="1">
      <c r="A37" s="376">
        <v>38359</v>
      </c>
      <c r="B37" s="397" t="str">
        <f>B36</f>
        <v>Janeiro/2004</v>
      </c>
      <c r="C37" s="309">
        <f>C36</f>
        <v>2229.52</v>
      </c>
      <c r="D37" s="392">
        <v>3000</v>
      </c>
      <c r="E37" s="392">
        <v>10</v>
      </c>
      <c r="F37" s="285">
        <f t="shared" si="5"/>
        <v>222.95</v>
      </c>
      <c r="G37" s="287">
        <v>0</v>
      </c>
      <c r="H37" s="287">
        <f t="shared" si="4"/>
        <v>222.95</v>
      </c>
      <c r="I37" s="409">
        <f>Plan1!C47</f>
        <v>1.12348756</v>
      </c>
      <c r="J37" s="287">
        <f t="shared" si="1"/>
        <v>250.48</v>
      </c>
      <c r="K37" s="412">
        <f>(1/30*25)+11+12+12+12+12+12+12+12+12+10</f>
        <v>117.83</v>
      </c>
      <c r="L37" s="287">
        <f t="shared" si="2"/>
        <v>295.14</v>
      </c>
      <c r="M37" s="287">
        <f t="shared" si="3"/>
        <v>545.62</v>
      </c>
    </row>
    <row r="38" spans="1:13" ht="10.5" customHeight="1">
      <c r="A38" s="376">
        <v>38692</v>
      </c>
      <c r="B38" s="397" t="s">
        <v>330</v>
      </c>
      <c r="C38" s="309">
        <f>'01'!F138</f>
        <v>2445.28</v>
      </c>
      <c r="D38" s="392">
        <v>3270</v>
      </c>
      <c r="E38" s="392">
        <v>8</v>
      </c>
      <c r="F38" s="285">
        <f t="shared" si="5"/>
        <v>195.62</v>
      </c>
      <c r="G38" s="287">
        <v>0</v>
      </c>
      <c r="H38" s="287">
        <f t="shared" si="4"/>
        <v>195.62</v>
      </c>
      <c r="I38" s="409">
        <f>Plan1!C58</f>
        <v>1.09500937</v>
      </c>
      <c r="J38" s="287">
        <f t="shared" si="1"/>
        <v>214.21</v>
      </c>
      <c r="K38" s="412">
        <f>(1/30*26)+12+12+12+12+12+12+12+12+10</f>
        <v>106.87</v>
      </c>
      <c r="L38" s="287">
        <f t="shared" si="2"/>
        <v>228.93</v>
      </c>
      <c r="M38" s="287">
        <f t="shared" si="3"/>
        <v>443.14</v>
      </c>
    </row>
    <row r="39" spans="1:13" ht="10.5" customHeight="1">
      <c r="A39" s="376">
        <v>38702</v>
      </c>
      <c r="B39" s="397" t="str">
        <f>B38</f>
        <v>Janeiro/2005</v>
      </c>
      <c r="C39" s="309">
        <f>C38</f>
        <v>2445.28</v>
      </c>
      <c r="D39" s="392">
        <v>3270</v>
      </c>
      <c r="E39" s="392">
        <v>8</v>
      </c>
      <c r="F39" s="285">
        <f t="shared" si="5"/>
        <v>195.62</v>
      </c>
      <c r="G39" s="287">
        <v>0</v>
      </c>
      <c r="H39" s="287">
        <f t="shared" si="4"/>
        <v>195.62</v>
      </c>
      <c r="I39" s="409">
        <f>I38</f>
        <v>1.09500937</v>
      </c>
      <c r="J39" s="287">
        <f t="shared" si="1"/>
        <v>214.21</v>
      </c>
      <c r="K39" s="412">
        <f>(1/30*16)+12+12+12+12+12+12+12+12+10</f>
        <v>106.53</v>
      </c>
      <c r="L39" s="287">
        <f t="shared" si="2"/>
        <v>228.2</v>
      </c>
      <c r="M39" s="287">
        <f t="shared" si="3"/>
        <v>442.41</v>
      </c>
    </row>
    <row r="40" spans="1:13" ht="10.5" customHeight="1">
      <c r="A40" s="376">
        <v>38723</v>
      </c>
      <c r="B40" s="397" t="str">
        <f>B39</f>
        <v>Janeiro/2005</v>
      </c>
      <c r="C40" s="309">
        <f>C39</f>
        <v>2445.28</v>
      </c>
      <c r="D40" s="392">
        <v>3270</v>
      </c>
      <c r="E40" s="392">
        <v>8</v>
      </c>
      <c r="F40" s="285">
        <f t="shared" si="5"/>
        <v>195.62</v>
      </c>
      <c r="G40" s="287">
        <v>0</v>
      </c>
      <c r="H40" s="287">
        <f t="shared" si="4"/>
        <v>195.62</v>
      </c>
      <c r="I40" s="409">
        <f>Plan1!D47</f>
        <v>1.09253042</v>
      </c>
      <c r="J40" s="287">
        <f t="shared" si="1"/>
        <v>213.72</v>
      </c>
      <c r="K40" s="412">
        <f>(1/30*26)+11+12+12+12+12+12+12+12+10</f>
        <v>105.87</v>
      </c>
      <c r="L40" s="287">
        <f t="shared" si="2"/>
        <v>226.27</v>
      </c>
      <c r="M40" s="287">
        <f t="shared" si="3"/>
        <v>439.99</v>
      </c>
    </row>
    <row r="41" spans="1:13" ht="10.5" customHeight="1">
      <c r="A41" s="376">
        <v>39059</v>
      </c>
      <c r="B41" s="397" t="s">
        <v>331</v>
      </c>
      <c r="C41" s="309">
        <f>'01'!F159</f>
        <v>2648.64</v>
      </c>
      <c r="D41" s="392">
        <v>3434.2</v>
      </c>
      <c r="E41" s="392">
        <v>4.5</v>
      </c>
      <c r="F41" s="285">
        <f t="shared" si="5"/>
        <v>119.19</v>
      </c>
      <c r="G41" s="287">
        <v>0</v>
      </c>
      <c r="H41" s="287">
        <f t="shared" si="4"/>
        <v>119.19</v>
      </c>
      <c r="I41" s="409">
        <f>Plan1!D58</f>
        <v>1.07234179</v>
      </c>
      <c r="J41" s="287">
        <f t="shared" si="1"/>
        <v>127.81</v>
      </c>
      <c r="K41" s="412">
        <f>(1/30*24)+12+12+12+12+12+12+12+10</f>
        <v>94.8</v>
      </c>
      <c r="L41" s="287">
        <f t="shared" si="2"/>
        <v>121.16</v>
      </c>
      <c r="M41" s="287">
        <f t="shared" si="3"/>
        <v>248.97</v>
      </c>
    </row>
    <row r="42" spans="1:13" ht="10.5" customHeight="1">
      <c r="A42" s="376">
        <v>39066</v>
      </c>
      <c r="B42" s="397" t="str">
        <f>B41</f>
        <v>Outubro/2006</v>
      </c>
      <c r="C42" s="309">
        <f>C41</f>
        <v>2648.64</v>
      </c>
      <c r="D42" s="392">
        <v>3434.2</v>
      </c>
      <c r="E42" s="392">
        <v>4.5</v>
      </c>
      <c r="F42" s="285">
        <f t="shared" si="5"/>
        <v>119.19</v>
      </c>
      <c r="G42" s="287">
        <v>0</v>
      </c>
      <c r="H42" s="287">
        <f t="shared" si="4"/>
        <v>119.19</v>
      </c>
      <c r="I42" s="409">
        <f>I41</f>
        <v>1.07234179</v>
      </c>
      <c r="J42" s="287">
        <f t="shared" si="1"/>
        <v>127.81</v>
      </c>
      <c r="K42" s="412">
        <f>(1/30*17)+12+12+12+12+12+12+12+10</f>
        <v>94.57</v>
      </c>
      <c r="L42" s="287">
        <f t="shared" si="2"/>
        <v>120.87</v>
      </c>
      <c r="M42" s="287">
        <f t="shared" si="3"/>
        <v>248.68</v>
      </c>
    </row>
    <row r="43" spans="1:13" ht="10.5" customHeight="1">
      <c r="A43" s="376">
        <v>39087</v>
      </c>
      <c r="B43" s="397" t="str">
        <f>B42</f>
        <v>Outubro/2006</v>
      </c>
      <c r="C43" s="309">
        <f>C42</f>
        <v>2648.64</v>
      </c>
      <c r="D43" s="392">
        <v>3434.2</v>
      </c>
      <c r="E43" s="392">
        <v>4.5</v>
      </c>
      <c r="F43" s="285">
        <f t="shared" si="5"/>
        <v>119.19</v>
      </c>
      <c r="G43" s="287">
        <v>0</v>
      </c>
      <c r="H43" s="287">
        <f>F43+G43</f>
        <v>119.19</v>
      </c>
      <c r="I43" s="409">
        <f>Plan1!E47</f>
        <v>1.07071217</v>
      </c>
      <c r="J43" s="287">
        <f t="shared" si="1"/>
        <v>127.62</v>
      </c>
      <c r="K43" s="412">
        <f>(1/30*27)+11+12+12+12+12+12+12+10</f>
        <v>93.9</v>
      </c>
      <c r="L43" s="287">
        <f t="shared" si="2"/>
        <v>119.84</v>
      </c>
      <c r="M43" s="287">
        <f t="shared" si="3"/>
        <v>247.46</v>
      </c>
    </row>
    <row r="44" spans="1:13" ht="10.5" customHeight="1">
      <c r="A44" s="376">
        <v>39423</v>
      </c>
      <c r="B44" s="397" t="s">
        <v>332</v>
      </c>
      <c r="C44" s="309">
        <f>'01'!F162</f>
        <v>2780.08</v>
      </c>
      <c r="D44" s="392">
        <v>3780</v>
      </c>
      <c r="E44" s="392">
        <v>10</v>
      </c>
      <c r="F44" s="285">
        <f t="shared" si="5"/>
        <v>278.01</v>
      </c>
      <c r="G44" s="287">
        <v>0</v>
      </c>
      <c r="H44" s="287">
        <f aca="true" t="shared" si="6" ref="H44:H56">F44+G44</f>
        <v>278.01</v>
      </c>
      <c r="I44" s="409">
        <f>Plan1!E58</f>
        <v>1.05613302</v>
      </c>
      <c r="J44" s="287">
        <f t="shared" si="1"/>
        <v>293.62</v>
      </c>
      <c r="K44" s="412">
        <f>(1/30*25)+12+12+12+12+12+12+10</f>
        <v>82.83</v>
      </c>
      <c r="L44" s="287">
        <f t="shared" si="2"/>
        <v>243.21</v>
      </c>
      <c r="M44" s="287">
        <f t="shared" si="3"/>
        <v>536.83</v>
      </c>
    </row>
    <row r="45" spans="1:13" ht="10.5" customHeight="1">
      <c r="A45" s="376">
        <v>39437</v>
      </c>
      <c r="B45" s="397" t="str">
        <f>B44</f>
        <v>Janeiro/2007</v>
      </c>
      <c r="C45" s="309">
        <f>C44</f>
        <v>2780.08</v>
      </c>
      <c r="D45" s="392">
        <v>3780</v>
      </c>
      <c r="E45" s="392">
        <v>9</v>
      </c>
      <c r="F45" s="285">
        <f t="shared" si="5"/>
        <v>250.21</v>
      </c>
      <c r="G45" s="287">
        <v>0</v>
      </c>
      <c r="H45" s="287">
        <f t="shared" si="6"/>
        <v>250.21</v>
      </c>
      <c r="I45" s="409">
        <f>I44</f>
        <v>1.05613302</v>
      </c>
      <c r="J45" s="287">
        <f t="shared" si="1"/>
        <v>264.26</v>
      </c>
      <c r="K45" s="412">
        <f>(1/30*11)+12+12+12+12+12+12+10</f>
        <v>82.37</v>
      </c>
      <c r="L45" s="287">
        <f t="shared" si="2"/>
        <v>217.67</v>
      </c>
      <c r="M45" s="287">
        <f t="shared" si="3"/>
        <v>481.93</v>
      </c>
    </row>
    <row r="46" spans="1:13" ht="10.5" customHeight="1">
      <c r="A46" s="376">
        <v>39787</v>
      </c>
      <c r="B46" s="397" t="s">
        <v>333</v>
      </c>
      <c r="C46" s="309">
        <f>'01'!F174</f>
        <v>2988.4</v>
      </c>
      <c r="D46" s="392">
        <v>4275</v>
      </c>
      <c r="E46" s="392">
        <v>10</v>
      </c>
      <c r="F46" s="285">
        <f t="shared" si="5"/>
        <v>298.84</v>
      </c>
      <c r="G46" s="287">
        <v>0</v>
      </c>
      <c r="H46" s="287">
        <f t="shared" si="6"/>
        <v>298.84</v>
      </c>
      <c r="I46" s="409">
        <f>Plan1!F58</f>
        <v>1.04071169</v>
      </c>
      <c r="J46" s="287">
        <f t="shared" si="1"/>
        <v>311.01</v>
      </c>
      <c r="K46" s="412">
        <f>(1/30*27)+12+12+12+12+12+10</f>
        <v>70.9</v>
      </c>
      <c r="L46" s="287">
        <f t="shared" si="2"/>
        <v>220.51</v>
      </c>
      <c r="M46" s="287">
        <f t="shared" si="3"/>
        <v>531.52</v>
      </c>
    </row>
    <row r="47" spans="1:13" ht="10.5" customHeight="1">
      <c r="A47" s="376">
        <v>39801</v>
      </c>
      <c r="B47" s="397" t="str">
        <f>B46</f>
        <v>Janeiro/2008</v>
      </c>
      <c r="C47" s="309">
        <f>C46</f>
        <v>2988.4</v>
      </c>
      <c r="D47" s="392">
        <v>4275</v>
      </c>
      <c r="E47" s="392">
        <v>10</v>
      </c>
      <c r="F47" s="285">
        <f t="shared" si="5"/>
        <v>298.84</v>
      </c>
      <c r="G47" s="287">
        <v>0</v>
      </c>
      <c r="H47" s="287">
        <f t="shared" si="6"/>
        <v>298.84</v>
      </c>
      <c r="I47" s="409">
        <f>I46</f>
        <v>1.04071169</v>
      </c>
      <c r="J47" s="287">
        <f t="shared" si="1"/>
        <v>311.01</v>
      </c>
      <c r="K47" s="412">
        <f>(1/30*13)+12+12+12+12+12+10</f>
        <v>70.43</v>
      </c>
      <c r="L47" s="287">
        <f t="shared" si="2"/>
        <v>219.04</v>
      </c>
      <c r="M47" s="287">
        <f t="shared" si="3"/>
        <v>530.05</v>
      </c>
    </row>
    <row r="48" spans="1:13" ht="10.5" customHeight="1">
      <c r="A48" s="376">
        <v>39822</v>
      </c>
      <c r="B48" s="397" t="str">
        <f>B47</f>
        <v>Janeiro/2008</v>
      </c>
      <c r="C48" s="309">
        <f>C47</f>
        <v>2988.4</v>
      </c>
      <c r="D48" s="392">
        <v>4275</v>
      </c>
      <c r="E48" s="392">
        <v>8</v>
      </c>
      <c r="F48" s="285">
        <f t="shared" si="5"/>
        <v>239.07</v>
      </c>
      <c r="G48" s="287">
        <v>0</v>
      </c>
      <c r="H48" s="287">
        <f t="shared" si="6"/>
        <v>239.07</v>
      </c>
      <c r="I48" s="409">
        <f>Plan1!G47</f>
        <v>1.03848</v>
      </c>
      <c r="J48" s="287">
        <f t="shared" si="1"/>
        <v>248.27</v>
      </c>
      <c r="K48" s="412">
        <f>(1/30*23)+11+12+12+12+12+10</f>
        <v>69.77</v>
      </c>
      <c r="L48" s="287">
        <f t="shared" si="2"/>
        <v>173.22</v>
      </c>
      <c r="M48" s="287">
        <f t="shared" si="3"/>
        <v>421.49</v>
      </c>
    </row>
    <row r="49" spans="1:13" ht="10.5" customHeight="1">
      <c r="A49" s="376">
        <v>40151</v>
      </c>
      <c r="B49" s="397" t="s">
        <v>338</v>
      </c>
      <c r="C49" s="309">
        <f>'01'!F195</f>
        <v>3320.72</v>
      </c>
      <c r="D49" s="392">
        <v>4555</v>
      </c>
      <c r="E49" s="392">
        <v>8.5</v>
      </c>
      <c r="F49" s="285">
        <f t="shared" si="5"/>
        <v>282.26</v>
      </c>
      <c r="G49" s="287">
        <v>0</v>
      </c>
      <c r="H49" s="287">
        <f t="shared" si="6"/>
        <v>282.26</v>
      </c>
      <c r="I49" s="409">
        <f>Plan1!G58</f>
        <v>1.03171856</v>
      </c>
      <c r="J49" s="287">
        <f t="shared" si="1"/>
        <v>291.21</v>
      </c>
      <c r="K49" s="412">
        <f>(1/30*28)+12+12+12+12+10</f>
        <v>58.93</v>
      </c>
      <c r="L49" s="287">
        <f t="shared" si="2"/>
        <v>171.61</v>
      </c>
      <c r="M49" s="287">
        <f t="shared" si="3"/>
        <v>462.82</v>
      </c>
    </row>
    <row r="50" spans="1:13" ht="10.5" customHeight="1">
      <c r="A50" s="376">
        <v>40165</v>
      </c>
      <c r="B50" s="397" t="s">
        <v>338</v>
      </c>
      <c r="C50" s="309">
        <f>C49</f>
        <v>3320.72</v>
      </c>
      <c r="D50" s="392">
        <v>4555</v>
      </c>
      <c r="E50" s="392">
        <v>8.5</v>
      </c>
      <c r="F50" s="285">
        <f t="shared" si="5"/>
        <v>282.26</v>
      </c>
      <c r="G50" s="287">
        <v>0</v>
      </c>
      <c r="H50" s="287">
        <f t="shared" si="6"/>
        <v>282.26</v>
      </c>
      <c r="I50" s="409">
        <f>Plan1!G58</f>
        <v>1.03171856</v>
      </c>
      <c r="J50" s="287">
        <f t="shared" si="1"/>
        <v>291.21</v>
      </c>
      <c r="K50" s="412">
        <f>(1/30*14)+12+12+12+12+10</f>
        <v>58.47</v>
      </c>
      <c r="L50" s="287">
        <f t="shared" si="2"/>
        <v>170.27</v>
      </c>
      <c r="M50" s="287">
        <f t="shared" si="3"/>
        <v>461.48</v>
      </c>
    </row>
    <row r="51" spans="1:13" ht="10.5" customHeight="1">
      <c r="A51" s="376">
        <v>40515</v>
      </c>
      <c r="B51" s="397" t="s">
        <v>342</v>
      </c>
      <c r="C51" s="309">
        <f>'01'!F207</f>
        <v>3536.48</v>
      </c>
      <c r="D51" s="392">
        <v>5300</v>
      </c>
      <c r="E51" s="392">
        <v>12</v>
      </c>
      <c r="F51" s="285">
        <f t="shared" si="5"/>
        <v>424.38</v>
      </c>
      <c r="G51" s="287">
        <v>0</v>
      </c>
      <c r="H51" s="287">
        <f t="shared" si="6"/>
        <v>424.38</v>
      </c>
      <c r="I51" s="409">
        <f>Plan1!H58</f>
        <v>1.02555524</v>
      </c>
      <c r="J51" s="287">
        <f t="shared" si="1"/>
        <v>435.23</v>
      </c>
      <c r="K51" s="412">
        <f>(1/30*29)+12+12+12+10</f>
        <v>46.97</v>
      </c>
      <c r="L51" s="287">
        <f t="shared" si="2"/>
        <v>204.43</v>
      </c>
      <c r="M51" s="287">
        <f t="shared" si="3"/>
        <v>639.66</v>
      </c>
    </row>
    <row r="52" spans="1:13" ht="10.5" customHeight="1">
      <c r="A52" s="376">
        <v>40529</v>
      </c>
      <c r="B52" s="397" t="s">
        <v>342</v>
      </c>
      <c r="C52" s="309">
        <f>C51</f>
        <v>3536.48</v>
      </c>
      <c r="D52" s="392">
        <f>D51</f>
        <v>5300</v>
      </c>
      <c r="E52" s="392">
        <v>12</v>
      </c>
      <c r="F52" s="285">
        <f t="shared" si="5"/>
        <v>424.38</v>
      </c>
      <c r="G52" s="287">
        <v>0</v>
      </c>
      <c r="H52" s="287">
        <f t="shared" si="6"/>
        <v>424.38</v>
      </c>
      <c r="I52" s="409">
        <f>I51</f>
        <v>1.02555524</v>
      </c>
      <c r="J52" s="287">
        <f t="shared" si="1"/>
        <v>435.23</v>
      </c>
      <c r="K52" s="412">
        <f>(1/30*15)+12+12+12+10</f>
        <v>46.5</v>
      </c>
      <c r="L52" s="287">
        <f t="shared" si="2"/>
        <v>202.38</v>
      </c>
      <c r="M52" s="287">
        <f t="shared" si="3"/>
        <v>637.61</v>
      </c>
    </row>
    <row r="53" spans="1:13" ht="10.5" customHeight="1">
      <c r="A53" s="376">
        <v>40879</v>
      </c>
      <c r="B53" s="397" t="s">
        <v>343</v>
      </c>
      <c r="C53" s="309">
        <f>'01'!F219</f>
        <v>3853.92</v>
      </c>
      <c r="D53" s="392">
        <v>6000</v>
      </c>
      <c r="E53" s="392">
        <v>13</v>
      </c>
      <c r="F53" s="285">
        <f t="shared" si="5"/>
        <v>501.01</v>
      </c>
      <c r="G53" s="287">
        <v>0</v>
      </c>
      <c r="H53" s="287">
        <f t="shared" si="6"/>
        <v>501.01</v>
      </c>
      <c r="I53" s="409">
        <f>Plan1!I58</f>
        <v>1.01284075</v>
      </c>
      <c r="J53" s="287">
        <f t="shared" si="1"/>
        <v>507.44</v>
      </c>
      <c r="K53" s="412">
        <f>(1/30*30)+12+12+10</f>
        <v>35</v>
      </c>
      <c r="L53" s="287">
        <f t="shared" si="2"/>
        <v>177.6</v>
      </c>
      <c r="M53" s="287">
        <f t="shared" si="3"/>
        <v>685.04</v>
      </c>
    </row>
    <row r="54" spans="1:13" ht="10.5" customHeight="1">
      <c r="A54" s="376">
        <v>40893</v>
      </c>
      <c r="B54" s="397" t="s">
        <v>343</v>
      </c>
      <c r="C54" s="309">
        <f>C53</f>
        <v>3853.92</v>
      </c>
      <c r="D54" s="392">
        <v>6000</v>
      </c>
      <c r="E54" s="392">
        <v>13</v>
      </c>
      <c r="F54" s="285">
        <f t="shared" si="5"/>
        <v>501.01</v>
      </c>
      <c r="G54" s="287">
        <v>0</v>
      </c>
      <c r="H54" s="287">
        <f t="shared" si="6"/>
        <v>501.01</v>
      </c>
      <c r="I54" s="409">
        <f>I53</f>
        <v>1.01284075</v>
      </c>
      <c r="J54" s="287">
        <f t="shared" si="1"/>
        <v>507.44</v>
      </c>
      <c r="K54" s="412">
        <f>(1/30*16)+12+12+10</f>
        <v>34.53</v>
      </c>
      <c r="L54" s="287">
        <f t="shared" si="2"/>
        <v>175.22</v>
      </c>
      <c r="M54" s="287">
        <f t="shared" si="3"/>
        <v>682.66</v>
      </c>
    </row>
    <row r="55" spans="1:13" ht="10.5" customHeight="1">
      <c r="A55" s="376">
        <v>41247</v>
      </c>
      <c r="B55" s="397" t="s">
        <v>344</v>
      </c>
      <c r="C55" s="309">
        <f>'01'!F231</f>
        <v>4238.32</v>
      </c>
      <c r="D55" s="392">
        <v>6480</v>
      </c>
      <c r="E55" s="392">
        <v>10</v>
      </c>
      <c r="F55" s="285">
        <f t="shared" si="5"/>
        <v>423.83</v>
      </c>
      <c r="G55" s="287">
        <v>0</v>
      </c>
      <c r="H55" s="287">
        <f t="shared" si="6"/>
        <v>423.83</v>
      </c>
      <c r="I55" s="409">
        <f>Plan1!J58</f>
        <v>1.00896953</v>
      </c>
      <c r="J55" s="287">
        <f t="shared" si="1"/>
        <v>427.63</v>
      </c>
      <c r="K55" s="412">
        <f>(1/30*28)+12+10</f>
        <v>22.93</v>
      </c>
      <c r="L55" s="287">
        <f t="shared" si="2"/>
        <v>98.06</v>
      </c>
      <c r="M55" s="287">
        <f t="shared" si="3"/>
        <v>525.69</v>
      </c>
    </row>
    <row r="56" spans="1:13" ht="10.5" customHeight="1">
      <c r="A56" s="376">
        <v>41262</v>
      </c>
      <c r="B56" s="397" t="s">
        <v>344</v>
      </c>
      <c r="C56" s="309">
        <f>C55</f>
        <v>4238.32</v>
      </c>
      <c r="D56" s="392">
        <v>6480</v>
      </c>
      <c r="E56" s="392">
        <v>10</v>
      </c>
      <c r="F56" s="285">
        <f t="shared" si="5"/>
        <v>423.83</v>
      </c>
      <c r="G56" s="287">
        <v>0</v>
      </c>
      <c r="H56" s="287">
        <f t="shared" si="6"/>
        <v>423.83</v>
      </c>
      <c r="I56" s="409">
        <f>I55</f>
        <v>1.00896953</v>
      </c>
      <c r="J56" s="287">
        <f t="shared" si="1"/>
        <v>427.63</v>
      </c>
      <c r="K56" s="412">
        <f>(1/30*13)+12+10</f>
        <v>22.43</v>
      </c>
      <c r="L56" s="287">
        <f t="shared" si="2"/>
        <v>95.92</v>
      </c>
      <c r="M56" s="287">
        <f t="shared" si="3"/>
        <v>523.55</v>
      </c>
    </row>
    <row r="58" spans="1:13" s="205" customFormat="1" ht="10.5">
      <c r="A58" s="410"/>
      <c r="B58" s="411"/>
      <c r="F58" s="207">
        <f>SUM(F23:F57)</f>
        <v>8276.76</v>
      </c>
      <c r="G58" s="207">
        <f>SUM(G23:G57)</f>
        <v>861.56</v>
      </c>
      <c r="H58" s="207">
        <f>SUM(H23:H57)</f>
        <v>9138.32</v>
      </c>
      <c r="I58" s="401"/>
      <c r="J58" s="207">
        <f>SUM(J23:J57)</f>
        <v>9961.02</v>
      </c>
      <c r="L58" s="207">
        <f>SUM(L23:L57)</f>
        <v>9017.87</v>
      </c>
      <c r="M58" s="207">
        <f>SUM(M23:M57)</f>
        <v>18978.89</v>
      </c>
    </row>
    <row r="60" ht="9" customHeight="1"/>
    <row r="61" spans="7:8" ht="12.75">
      <c r="G61" s="232"/>
      <c r="H61" s="232" t="s">
        <v>373</v>
      </c>
    </row>
    <row r="62" spans="7:8" ht="12.75">
      <c r="G62" s="421" t="s">
        <v>374</v>
      </c>
      <c r="H62" s="232"/>
    </row>
  </sheetData>
  <sheetProtection/>
  <hyperlinks>
    <hyperlink ref="G62" r:id="rId1" display="www.sentenca.com.br"/>
  </hyperlinks>
  <printOptions/>
  <pageMargins left="0.7086614173228347" right="0.3937007874015748" top="0.7874015748031497" bottom="0.5905511811023623" header="0.31496062992125984" footer="0.31496062992125984"/>
  <pageSetup horizontalDpi="600" verticalDpi="600" orientation="landscape" paperSize="9" r:id="rId2"/>
  <headerFooter>
    <oddHeader>&amp;R&amp;"Tahoma,Normal"&amp;8
Anexo: 05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12.140625" style="134" customWidth="1"/>
    <col min="2" max="2" width="14.28125" style="134" customWidth="1"/>
    <col min="3" max="3" width="16.421875" style="134" customWidth="1"/>
    <col min="4" max="4" width="17.140625" style="134" customWidth="1"/>
    <col min="5" max="16384" width="9.140625" style="134" customWidth="1"/>
  </cols>
  <sheetData>
    <row r="1" spans="1:4" s="425" customFormat="1" ht="14.25" customHeight="1">
      <c r="A1" s="424" t="s">
        <v>395</v>
      </c>
      <c r="B1" s="424"/>
      <c r="C1" s="424"/>
      <c r="D1" s="424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spans="1:3" s="183" customFormat="1" ht="3.75" customHeight="1" hidden="1">
      <c r="A4" s="39"/>
      <c r="B4" s="39"/>
      <c r="C4" s="39"/>
    </row>
    <row r="5" spans="1:3" s="183" customFormat="1" ht="10.5" customHeight="1">
      <c r="A5" s="40" t="s">
        <v>62</v>
      </c>
      <c r="B5" s="40"/>
      <c r="C5" s="40"/>
    </row>
    <row r="6" spans="1:3" s="183" customFormat="1" ht="10.5" customHeight="1">
      <c r="A6" s="40"/>
      <c r="B6" s="40"/>
      <c r="C6" s="40"/>
    </row>
    <row r="7" spans="1:3" s="183" customFormat="1" ht="0.75" customHeight="1">
      <c r="A7" s="41"/>
      <c r="B7" s="41"/>
      <c r="C7" s="41"/>
    </row>
    <row r="8" spans="1:5" s="1" customFormat="1" ht="10.5" customHeight="1">
      <c r="A8" s="1" t="s">
        <v>367</v>
      </c>
      <c r="B8" s="181"/>
      <c r="C8" s="181"/>
      <c r="D8" s="181"/>
      <c r="E8" s="339"/>
    </row>
    <row r="9" spans="1:5" s="1" customFormat="1" ht="10.5" customHeight="1">
      <c r="A9" s="1" t="s">
        <v>368</v>
      </c>
      <c r="B9" s="181"/>
      <c r="C9" s="181"/>
      <c r="D9" s="181"/>
      <c r="E9" s="339"/>
    </row>
    <row r="10" spans="1:5" s="2" customFormat="1" ht="10.5" customHeight="1">
      <c r="A10" s="2" t="s">
        <v>375</v>
      </c>
      <c r="B10" s="422"/>
      <c r="C10" s="422"/>
      <c r="D10" s="422"/>
      <c r="E10" s="423"/>
    </row>
    <row r="11" spans="1:3" s="1" customFormat="1" ht="10.5" customHeight="1">
      <c r="A11" s="1" t="s">
        <v>228</v>
      </c>
      <c r="B11" s="181"/>
      <c r="C11" s="181"/>
    </row>
    <row r="12" spans="1:5" s="1" customFormat="1" ht="10.5" customHeight="1">
      <c r="A12" s="1" t="s">
        <v>363</v>
      </c>
      <c r="B12" s="181"/>
      <c r="C12" s="181"/>
      <c r="D12" s="181"/>
      <c r="E12" s="339"/>
    </row>
    <row r="13" s="1" customFormat="1" ht="15" customHeight="1" thickBot="1">
      <c r="B13" s="181"/>
    </row>
    <row r="14" spans="1:4" s="183" customFormat="1" ht="13.5" customHeight="1" thickBot="1" thickTop="1">
      <c r="A14" s="43" t="s">
        <v>1</v>
      </c>
      <c r="B14" s="44" t="s">
        <v>2</v>
      </c>
      <c r="C14" s="44" t="s">
        <v>3</v>
      </c>
      <c r="D14" s="44" t="s">
        <v>4</v>
      </c>
    </row>
    <row r="15" spans="1:4" s="183" customFormat="1" ht="10.5" customHeight="1" thickBot="1" thickTop="1">
      <c r="A15" s="127"/>
      <c r="B15" s="45"/>
      <c r="C15" s="45"/>
      <c r="D15" s="45"/>
    </row>
    <row r="16" spans="1:4" s="183" customFormat="1" ht="10.5" customHeight="1" thickTop="1">
      <c r="A16" s="46" t="s">
        <v>9</v>
      </c>
      <c r="B16" s="128" t="s">
        <v>63</v>
      </c>
      <c r="C16" s="128" t="s">
        <v>208</v>
      </c>
      <c r="D16" s="129" t="s">
        <v>18</v>
      </c>
    </row>
    <row r="17" spans="1:4" s="183" customFormat="1" ht="10.5" customHeight="1">
      <c r="A17" s="49"/>
      <c r="B17" s="130" t="s">
        <v>64</v>
      </c>
      <c r="C17" s="130" t="s">
        <v>212</v>
      </c>
      <c r="D17" s="131"/>
    </row>
    <row r="18" spans="1:4" s="183" customFormat="1" ht="10.5" customHeight="1">
      <c r="A18" s="49"/>
      <c r="B18" s="130" t="s">
        <v>386</v>
      </c>
      <c r="C18" s="130" t="s">
        <v>278</v>
      </c>
      <c r="D18" s="131"/>
    </row>
    <row r="19" spans="1:4" s="183" customFormat="1" ht="10.5" customHeight="1">
      <c r="A19" s="49"/>
      <c r="B19" s="130" t="s">
        <v>172</v>
      </c>
      <c r="C19" s="130"/>
      <c r="D19" s="131"/>
    </row>
    <row r="20" spans="1:4" s="183" customFormat="1" ht="10.5" customHeight="1" thickBot="1">
      <c r="A20" s="53"/>
      <c r="B20" s="185"/>
      <c r="C20" s="185" t="s">
        <v>189</v>
      </c>
      <c r="D20" s="186" t="s">
        <v>394</v>
      </c>
    </row>
    <row r="21" s="184" customFormat="1" ht="10.5" customHeight="1" thickTop="1"/>
    <row r="22" spans="1:4" s="183" customFormat="1" ht="10.5" customHeight="1">
      <c r="A22" s="132">
        <f>'03'!A21</f>
        <v>34790</v>
      </c>
      <c r="B22" s="351" t="s">
        <v>276</v>
      </c>
      <c r="C22" s="133">
        <f>'03'!J21</f>
        <v>0</v>
      </c>
      <c r="D22" s="137">
        <v>0</v>
      </c>
    </row>
    <row r="23" spans="1:4" s="183" customFormat="1" ht="10.5" customHeight="1">
      <c r="A23" s="132">
        <f>'03'!A22</f>
        <v>34820</v>
      </c>
      <c r="B23" s="351">
        <v>0</v>
      </c>
      <c r="C23" s="133">
        <f>'03'!J22</f>
        <v>19.33</v>
      </c>
      <c r="D23" s="137">
        <f aca="true" t="shared" si="0" ref="D23:D64">B23+C23</f>
        <v>19.33</v>
      </c>
    </row>
    <row r="24" spans="1:4" s="183" customFormat="1" ht="10.5" customHeight="1">
      <c r="A24" s="132">
        <f>'03'!A23</f>
        <v>34851</v>
      </c>
      <c r="B24" s="351">
        <v>0</v>
      </c>
      <c r="C24" s="133">
        <f>'03'!J23</f>
        <v>20</v>
      </c>
      <c r="D24" s="137">
        <f t="shared" si="0"/>
        <v>20</v>
      </c>
    </row>
    <row r="25" spans="1:4" s="183" customFormat="1" ht="10.5" customHeight="1">
      <c r="A25" s="132">
        <f>'03'!A24</f>
        <v>34881</v>
      </c>
      <c r="B25" s="351">
        <v>0</v>
      </c>
      <c r="C25" s="133">
        <f>'03'!J24</f>
        <v>20</v>
      </c>
      <c r="D25" s="137">
        <f t="shared" si="0"/>
        <v>20</v>
      </c>
    </row>
    <row r="26" spans="1:4" s="183" customFormat="1" ht="10.5" customHeight="1">
      <c r="A26" s="132">
        <f>'03'!A25</f>
        <v>34912</v>
      </c>
      <c r="B26" s="351">
        <v>0</v>
      </c>
      <c r="C26" s="133">
        <f>'03'!J25</f>
        <v>20</v>
      </c>
      <c r="D26" s="137">
        <f t="shared" si="0"/>
        <v>20</v>
      </c>
    </row>
    <row r="27" spans="1:4" s="183" customFormat="1" ht="10.5" customHeight="1">
      <c r="A27" s="132">
        <f>'03'!A26</f>
        <v>34943</v>
      </c>
      <c r="B27" s="351">
        <v>0</v>
      </c>
      <c r="C27" s="133">
        <f>'03'!J26</f>
        <v>20</v>
      </c>
      <c r="D27" s="137">
        <f t="shared" si="0"/>
        <v>20</v>
      </c>
    </row>
    <row r="28" spans="1:4" s="183" customFormat="1" ht="10.5" customHeight="1">
      <c r="A28" s="132">
        <f>'03'!A27</f>
        <v>34973</v>
      </c>
      <c r="B28" s="351">
        <v>0</v>
      </c>
      <c r="C28" s="133">
        <f>'03'!J27</f>
        <v>20</v>
      </c>
      <c r="D28" s="137">
        <f t="shared" si="0"/>
        <v>20</v>
      </c>
    </row>
    <row r="29" spans="1:4" s="183" customFormat="1" ht="10.5" customHeight="1">
      <c r="A29" s="132">
        <f>'03'!A28</f>
        <v>35004</v>
      </c>
      <c r="B29" s="351">
        <v>0</v>
      </c>
      <c r="C29" s="133">
        <f>'03'!J28</f>
        <v>20</v>
      </c>
      <c r="D29" s="137">
        <f t="shared" si="0"/>
        <v>20</v>
      </c>
    </row>
    <row r="30" spans="1:4" s="183" customFormat="1" ht="10.5" customHeight="1">
      <c r="A30" s="132">
        <f>'03'!A29</f>
        <v>35034</v>
      </c>
      <c r="B30" s="351">
        <v>0</v>
      </c>
      <c r="C30" s="133">
        <f>'03'!J29</f>
        <v>23.85</v>
      </c>
      <c r="D30" s="137">
        <f t="shared" si="0"/>
        <v>23.85</v>
      </c>
    </row>
    <row r="31" spans="1:4" s="183" customFormat="1" ht="10.5" customHeight="1">
      <c r="A31" s="132">
        <f>'03'!A30</f>
        <v>35065</v>
      </c>
      <c r="B31" s="351">
        <v>0</v>
      </c>
      <c r="C31" s="133">
        <f>'03'!J30</f>
        <v>16.67</v>
      </c>
      <c r="D31" s="137">
        <f t="shared" si="0"/>
        <v>16.67</v>
      </c>
    </row>
    <row r="32" spans="1:4" s="183" customFormat="1" ht="10.5" customHeight="1">
      <c r="A32" s="132">
        <f>'03'!A31</f>
        <v>35096</v>
      </c>
      <c r="B32" s="351" t="s">
        <v>276</v>
      </c>
      <c r="C32" s="133">
        <f>'03'!J31</f>
        <v>0</v>
      </c>
      <c r="D32" s="137">
        <v>0</v>
      </c>
    </row>
    <row r="33" spans="1:4" s="183" customFormat="1" ht="10.5" customHeight="1">
      <c r="A33" s="132">
        <f>'03'!A32</f>
        <v>35125</v>
      </c>
      <c r="B33" s="351" t="s">
        <v>276</v>
      </c>
      <c r="C33" s="133">
        <f>'03'!J32</f>
        <v>0</v>
      </c>
      <c r="D33" s="137">
        <v>0</v>
      </c>
    </row>
    <row r="34" spans="1:4" s="183" customFormat="1" ht="10.5" customHeight="1">
      <c r="A34" s="132">
        <f>'03'!A33</f>
        <v>35156</v>
      </c>
      <c r="B34" s="351" t="s">
        <v>276</v>
      </c>
      <c r="C34" s="133">
        <f>'03'!J33</f>
        <v>0</v>
      </c>
      <c r="D34" s="137">
        <v>0</v>
      </c>
    </row>
    <row r="35" spans="1:4" s="183" customFormat="1" ht="10.5" customHeight="1">
      <c r="A35" s="132">
        <f>'03'!A34</f>
        <v>35186</v>
      </c>
      <c r="B35" s="351" t="s">
        <v>276</v>
      </c>
      <c r="C35" s="133">
        <f>'03'!J34</f>
        <v>0</v>
      </c>
      <c r="D35" s="137">
        <v>0</v>
      </c>
    </row>
    <row r="36" spans="1:4" s="183" customFormat="1" ht="10.5" customHeight="1">
      <c r="A36" s="132">
        <f>'03'!A35</f>
        <v>35217</v>
      </c>
      <c r="B36" s="351" t="s">
        <v>276</v>
      </c>
      <c r="C36" s="133">
        <f>'03'!J35</f>
        <v>0</v>
      </c>
      <c r="D36" s="137">
        <v>0</v>
      </c>
    </row>
    <row r="37" spans="1:4" s="183" customFormat="1" ht="10.5" customHeight="1">
      <c r="A37" s="132">
        <f>'03'!A36</f>
        <v>35247</v>
      </c>
      <c r="B37" s="351" t="s">
        <v>276</v>
      </c>
      <c r="C37" s="133">
        <f>'03'!J36</f>
        <v>0</v>
      </c>
      <c r="D37" s="137">
        <v>0</v>
      </c>
    </row>
    <row r="38" spans="1:4" s="183" customFormat="1" ht="10.5" customHeight="1">
      <c r="A38" s="132">
        <f>'03'!A37</f>
        <v>35278</v>
      </c>
      <c r="B38" s="351" t="s">
        <v>276</v>
      </c>
      <c r="C38" s="133">
        <f>'03'!J37</f>
        <v>0</v>
      </c>
      <c r="D38" s="137">
        <v>0</v>
      </c>
    </row>
    <row r="39" spans="1:4" s="183" customFormat="1" ht="10.5" customHeight="1">
      <c r="A39" s="132">
        <f>'03'!A38</f>
        <v>35309</v>
      </c>
      <c r="B39" s="351">
        <v>0</v>
      </c>
      <c r="C39" s="133">
        <f>'03'!J38</f>
        <v>8.88</v>
      </c>
      <c r="D39" s="137">
        <f t="shared" si="0"/>
        <v>8.88</v>
      </c>
    </row>
    <row r="40" spans="1:4" s="183" customFormat="1" ht="10.5" customHeight="1">
      <c r="A40" s="132">
        <f>'03'!A39</f>
        <v>35339</v>
      </c>
      <c r="B40" s="351">
        <v>0</v>
      </c>
      <c r="C40" s="133">
        <f>'03'!J39</f>
        <v>22.4</v>
      </c>
      <c r="D40" s="137">
        <f t="shared" si="0"/>
        <v>22.4</v>
      </c>
    </row>
    <row r="41" spans="1:4" s="183" customFormat="1" ht="10.5" customHeight="1">
      <c r="A41" s="132">
        <f>'03'!A40</f>
        <v>35370</v>
      </c>
      <c r="B41" s="351">
        <v>0</v>
      </c>
      <c r="C41" s="133">
        <f>'03'!J40</f>
        <v>22.4</v>
      </c>
      <c r="D41" s="137">
        <f t="shared" si="0"/>
        <v>22.4</v>
      </c>
    </row>
    <row r="42" spans="1:4" s="183" customFormat="1" ht="10.5" customHeight="1">
      <c r="A42" s="132">
        <f>'03'!A41</f>
        <v>35400</v>
      </c>
      <c r="B42" s="351">
        <v>0</v>
      </c>
      <c r="C42" s="133">
        <f>'03'!J41</f>
        <v>44.8</v>
      </c>
      <c r="D42" s="137">
        <f t="shared" si="0"/>
        <v>44.8</v>
      </c>
    </row>
    <row r="43" spans="1:4" s="183" customFormat="1" ht="10.5" customHeight="1">
      <c r="A43" s="132">
        <f>'03'!A42</f>
        <v>35431</v>
      </c>
      <c r="B43" s="351">
        <v>0</v>
      </c>
      <c r="C43" s="133">
        <f>'03'!J42</f>
        <v>14.93</v>
      </c>
      <c r="D43" s="137">
        <f t="shared" si="0"/>
        <v>14.93</v>
      </c>
    </row>
    <row r="44" spans="1:4" s="183" customFormat="1" ht="10.5" customHeight="1">
      <c r="A44" s="132">
        <f>'03'!A43</f>
        <v>35462</v>
      </c>
      <c r="B44" s="351" t="s">
        <v>276</v>
      </c>
      <c r="C44" s="133">
        <f>'03'!J43</f>
        <v>0</v>
      </c>
      <c r="D44" s="137">
        <v>0</v>
      </c>
    </row>
    <row r="45" spans="1:4" s="183" customFormat="1" ht="10.5" customHeight="1">
      <c r="A45" s="132">
        <f>'03'!A44</f>
        <v>35490</v>
      </c>
      <c r="B45" s="351">
        <v>0</v>
      </c>
      <c r="C45" s="133">
        <f>'03'!J44</f>
        <v>22.4</v>
      </c>
      <c r="D45" s="137">
        <f t="shared" si="0"/>
        <v>22.4</v>
      </c>
    </row>
    <row r="46" spans="1:4" s="183" customFormat="1" ht="10.5" customHeight="1">
      <c r="A46" s="132">
        <f>'03'!A45</f>
        <v>35521</v>
      </c>
      <c r="B46" s="351">
        <v>0</v>
      </c>
      <c r="C46" s="133">
        <f>'03'!J45</f>
        <v>39.57</v>
      </c>
      <c r="D46" s="137">
        <f t="shared" si="0"/>
        <v>39.57</v>
      </c>
    </row>
    <row r="47" spans="1:4" s="183" customFormat="1" ht="10.5" customHeight="1">
      <c r="A47" s="132">
        <f>'03'!A46</f>
        <v>35551</v>
      </c>
      <c r="B47" s="133">
        <v>0</v>
      </c>
      <c r="C47" s="133">
        <f>'03'!J46</f>
        <v>21.6</v>
      </c>
      <c r="D47" s="137">
        <f t="shared" si="0"/>
        <v>21.6</v>
      </c>
    </row>
    <row r="48" spans="1:4" s="183" customFormat="1" ht="10.5" customHeight="1">
      <c r="A48" s="132">
        <f>'03'!A47</f>
        <v>35582</v>
      </c>
      <c r="B48" s="133">
        <v>0</v>
      </c>
      <c r="C48" s="133">
        <f>'03'!J47</f>
        <v>24</v>
      </c>
      <c r="D48" s="137">
        <f t="shared" si="0"/>
        <v>24</v>
      </c>
    </row>
    <row r="49" spans="1:4" s="183" customFormat="1" ht="10.5" customHeight="1">
      <c r="A49" s="132">
        <f>'03'!A48</f>
        <v>35612</v>
      </c>
      <c r="B49" s="133">
        <v>1913.36</v>
      </c>
      <c r="C49" s="133">
        <f>'03'!J48</f>
        <v>107.88</v>
      </c>
      <c r="D49" s="137">
        <f t="shared" si="0"/>
        <v>2021.24</v>
      </c>
    </row>
    <row r="50" spans="1:4" s="183" customFormat="1" ht="10.5" customHeight="1">
      <c r="A50" s="132">
        <f>'03'!A49</f>
        <v>35643</v>
      </c>
      <c r="B50" s="133">
        <v>1865.37</v>
      </c>
      <c r="C50" s="133">
        <f>'03'!J49</f>
        <v>106.28</v>
      </c>
      <c r="D50" s="137">
        <f t="shared" si="0"/>
        <v>1971.65</v>
      </c>
    </row>
    <row r="51" spans="1:4" s="183" customFormat="1" ht="10.5" customHeight="1">
      <c r="A51" s="132">
        <f>'03'!A50</f>
        <v>35674</v>
      </c>
      <c r="B51" s="133">
        <v>1446.22</v>
      </c>
      <c r="C51" s="133">
        <f>'03'!J50</f>
        <v>49.19</v>
      </c>
      <c r="D51" s="137">
        <f t="shared" si="0"/>
        <v>1495.41</v>
      </c>
    </row>
    <row r="52" spans="1:4" s="183" customFormat="1" ht="10.5" customHeight="1">
      <c r="A52" s="132">
        <f>'03'!A51</f>
        <v>35704</v>
      </c>
      <c r="B52" s="133">
        <v>0</v>
      </c>
      <c r="C52" s="133">
        <f>'03'!J51</f>
        <v>24</v>
      </c>
      <c r="D52" s="137">
        <f t="shared" si="0"/>
        <v>24</v>
      </c>
    </row>
    <row r="53" spans="1:4" s="183" customFormat="1" ht="10.5" customHeight="1">
      <c r="A53" s="132">
        <f>'03'!A52</f>
        <v>35735</v>
      </c>
      <c r="B53" s="133">
        <v>0</v>
      </c>
      <c r="C53" s="133">
        <f>'03'!J52</f>
        <v>24</v>
      </c>
      <c r="D53" s="137">
        <f t="shared" si="0"/>
        <v>24</v>
      </c>
    </row>
    <row r="54" spans="1:4" s="183" customFormat="1" ht="10.5" customHeight="1">
      <c r="A54" s="132">
        <f>'03'!A53</f>
        <v>35765</v>
      </c>
      <c r="B54" s="133">
        <v>0</v>
      </c>
      <c r="C54" s="133">
        <f>'03'!J53</f>
        <v>48</v>
      </c>
      <c r="D54" s="137">
        <f t="shared" si="0"/>
        <v>48</v>
      </c>
    </row>
    <row r="55" spans="1:4" s="183" customFormat="1" ht="10.5" customHeight="1">
      <c r="A55" s="132">
        <f>'03'!A54</f>
        <v>35796</v>
      </c>
      <c r="B55" s="133">
        <v>0</v>
      </c>
      <c r="C55" s="133">
        <f>'03'!J54</f>
        <v>24</v>
      </c>
      <c r="D55" s="137">
        <f t="shared" si="0"/>
        <v>24</v>
      </c>
    </row>
    <row r="56" spans="1:4" s="183" customFormat="1" ht="10.5" customHeight="1">
      <c r="A56" s="132">
        <f>'03'!A55</f>
        <v>35827</v>
      </c>
      <c r="B56" s="133">
        <v>0</v>
      </c>
      <c r="C56" s="133">
        <f>'03'!J55</f>
        <v>24</v>
      </c>
      <c r="D56" s="137">
        <f t="shared" si="0"/>
        <v>24</v>
      </c>
    </row>
    <row r="57" spans="1:4" s="183" customFormat="1" ht="10.5" customHeight="1">
      <c r="A57" s="132">
        <f>'03'!A56</f>
        <v>35855</v>
      </c>
      <c r="B57" s="133">
        <v>0</v>
      </c>
      <c r="C57" s="133">
        <f>'03'!J56</f>
        <v>44</v>
      </c>
      <c r="D57" s="137">
        <f t="shared" si="0"/>
        <v>44</v>
      </c>
    </row>
    <row r="58" spans="1:4" s="183" customFormat="1" ht="10.5" customHeight="1">
      <c r="A58" s="132">
        <f>'03'!A57</f>
        <v>35886</v>
      </c>
      <c r="B58" s="133">
        <v>0</v>
      </c>
      <c r="C58" s="133">
        <f>'03'!J57</f>
        <v>12.8</v>
      </c>
      <c r="D58" s="137">
        <f t="shared" si="0"/>
        <v>12.8</v>
      </c>
    </row>
    <row r="59" spans="1:4" s="183" customFormat="1" ht="10.5" customHeight="1">
      <c r="A59" s="132">
        <f>'03'!A58</f>
        <v>35916</v>
      </c>
      <c r="B59" s="133">
        <v>0</v>
      </c>
      <c r="C59" s="133">
        <f>'03'!J58</f>
        <v>26</v>
      </c>
      <c r="D59" s="137">
        <f t="shared" si="0"/>
        <v>26</v>
      </c>
    </row>
    <row r="60" spans="1:4" s="183" customFormat="1" ht="10.5" customHeight="1">
      <c r="A60" s="132">
        <f>'03'!A59</f>
        <v>35947</v>
      </c>
      <c r="B60" s="133">
        <v>0</v>
      </c>
      <c r="C60" s="133">
        <f>'03'!J59</f>
        <v>20.8</v>
      </c>
      <c r="D60" s="137">
        <f t="shared" si="0"/>
        <v>20.8</v>
      </c>
    </row>
    <row r="61" spans="1:4" s="183" customFormat="1" ht="10.5" customHeight="1">
      <c r="A61" s="132">
        <f>'03'!A60</f>
        <v>35977</v>
      </c>
      <c r="B61" s="133">
        <v>0</v>
      </c>
      <c r="C61" s="133">
        <f>'03'!J60</f>
        <v>23.4</v>
      </c>
      <c r="D61" s="137">
        <f t="shared" si="0"/>
        <v>23.4</v>
      </c>
    </row>
    <row r="62" spans="1:4" s="183" customFormat="1" ht="10.5" customHeight="1">
      <c r="A62" s="132">
        <f>'03'!A61</f>
        <v>36008</v>
      </c>
      <c r="B62" s="133">
        <v>0</v>
      </c>
      <c r="C62" s="133">
        <f>'03'!J61</f>
        <v>26</v>
      </c>
      <c r="D62" s="137">
        <f t="shared" si="0"/>
        <v>26</v>
      </c>
    </row>
    <row r="63" spans="1:4" s="183" customFormat="1" ht="10.5" customHeight="1">
      <c r="A63" s="132">
        <f>'03'!A62</f>
        <v>36039</v>
      </c>
      <c r="B63" s="133">
        <v>0</v>
      </c>
      <c r="C63" s="133">
        <f>'03'!J62</f>
        <v>52</v>
      </c>
      <c r="D63" s="137">
        <f t="shared" si="0"/>
        <v>52</v>
      </c>
    </row>
    <row r="64" spans="1:4" s="183" customFormat="1" ht="10.5" customHeight="1">
      <c r="A64" s="132">
        <f>'03'!A63</f>
        <v>36069</v>
      </c>
      <c r="B64" s="133">
        <v>0</v>
      </c>
      <c r="C64" s="133">
        <f>'03'!J63</f>
        <v>50.75</v>
      </c>
      <c r="D64" s="137">
        <f t="shared" si="0"/>
        <v>50.75</v>
      </c>
    </row>
    <row r="66" spans="2:4" s="352" customFormat="1" ht="10.5">
      <c r="B66" s="209">
        <f>SUM(B22:B65)</f>
        <v>5224.95</v>
      </c>
      <c r="C66" s="209">
        <f>SUM(C22:C65)</f>
        <v>1063.93</v>
      </c>
      <c r="D66" s="209">
        <f>SUM(D22:D65)</f>
        <v>6288.88</v>
      </c>
    </row>
    <row r="68" ht="7.5" customHeight="1"/>
    <row r="69" spans="3:4" ht="12.75">
      <c r="C69" s="232"/>
      <c r="D69" s="232" t="s">
        <v>373</v>
      </c>
    </row>
    <row r="70" spans="3:4" ht="12.75">
      <c r="C70" s="421" t="s">
        <v>374</v>
      </c>
      <c r="D70" s="232"/>
    </row>
  </sheetData>
  <sheetProtection/>
  <hyperlinks>
    <hyperlink ref="C70" r:id="rId1" display="www.sentenca.com.br"/>
  </hyperlinks>
  <printOptions/>
  <pageMargins left="1.968503937007874" right="0.7086614173228347" top="0.7874015748031497" bottom="0.5905511811023623" header="0.31496062992125984" footer="0.31496062992125984"/>
  <pageSetup horizontalDpi="600" verticalDpi="600" orientation="portrait" paperSize="9" r:id="rId2"/>
  <headerFooter>
    <oddHeader>&amp;R
&amp;"Tahoma,Normal"&amp;8Anexo: 06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8.140625" style="1" customWidth="1"/>
    <col min="2" max="2" width="10.7109375" style="1" customWidth="1"/>
    <col min="3" max="3" width="12.00390625" style="1" customWidth="1"/>
    <col min="4" max="4" width="15.8515625" style="1" customWidth="1"/>
    <col min="5" max="5" width="12.00390625" style="1" customWidth="1"/>
    <col min="6" max="6" width="12.14062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4" s="420" customFormat="1" ht="14.25" customHeight="1">
      <c r="A1" s="419" t="s">
        <v>396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ht="10.5">
      <c r="A4" s="1" t="s">
        <v>65</v>
      </c>
    </row>
    <row r="5" ht="10.5">
      <c r="A5" s="2" t="s">
        <v>270</v>
      </c>
    </row>
    <row r="6" ht="10.5">
      <c r="A6" s="2"/>
    </row>
    <row r="7" spans="1:5" ht="10.5" customHeight="1">
      <c r="A7" s="1" t="s">
        <v>367</v>
      </c>
      <c r="B7" s="181"/>
      <c r="C7" s="181"/>
      <c r="D7" s="181"/>
      <c r="E7" s="339"/>
    </row>
    <row r="8" spans="1:5" ht="10.5" customHeight="1">
      <c r="A8" s="1" t="s">
        <v>368</v>
      </c>
      <c r="B8" s="181"/>
      <c r="C8" s="181"/>
      <c r="D8" s="181"/>
      <c r="E8" s="339"/>
    </row>
    <row r="9" spans="1:5" s="2" customFormat="1" ht="10.5" customHeight="1">
      <c r="A9" s="2" t="s">
        <v>375</v>
      </c>
      <c r="B9" s="422"/>
      <c r="C9" s="422"/>
      <c r="D9" s="422"/>
      <c r="E9" s="423"/>
    </row>
    <row r="10" spans="1:5" ht="10.5" customHeight="1">
      <c r="A10" s="1" t="s">
        <v>364</v>
      </c>
      <c r="B10" s="181"/>
      <c r="C10" s="181"/>
      <c r="D10" s="181"/>
      <c r="E10" s="181"/>
    </row>
    <row r="11" ht="15" customHeight="1" thickBot="1"/>
    <row r="12" spans="1:8" ht="12" thickBot="1" thickTop="1">
      <c r="A12" s="12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</row>
    <row r="13" spans="1:2" ht="12" thickBot="1" thickTop="1">
      <c r="A13" s="3"/>
      <c r="B13" s="3"/>
    </row>
    <row r="14" spans="1:8" s="9" customFormat="1" ht="11.25" thickTop="1">
      <c r="A14" s="326" t="s">
        <v>9</v>
      </c>
      <c r="B14" s="327" t="s">
        <v>63</v>
      </c>
      <c r="C14" s="34" t="s">
        <v>66</v>
      </c>
      <c r="D14" s="34" t="s">
        <v>63</v>
      </c>
      <c r="E14" s="34" t="s">
        <v>67</v>
      </c>
      <c r="F14" s="34" t="s">
        <v>67</v>
      </c>
      <c r="G14" s="34" t="s">
        <v>67</v>
      </c>
      <c r="H14" s="328" t="s">
        <v>68</v>
      </c>
    </row>
    <row r="15" spans="1:8" s="9" customFormat="1" ht="10.5">
      <c r="A15" s="329"/>
      <c r="B15" s="16" t="s">
        <v>64</v>
      </c>
      <c r="C15" s="14" t="s">
        <v>69</v>
      </c>
      <c r="D15" s="14" t="s">
        <v>70</v>
      </c>
      <c r="E15" s="14" t="s">
        <v>256</v>
      </c>
      <c r="F15" s="14" t="s">
        <v>256</v>
      </c>
      <c r="G15" s="14" t="s">
        <v>256</v>
      </c>
      <c r="H15" s="330" t="s">
        <v>71</v>
      </c>
    </row>
    <row r="16" spans="1:8" s="9" customFormat="1" ht="10.5">
      <c r="A16" s="329"/>
      <c r="B16" s="16" t="s">
        <v>72</v>
      </c>
      <c r="C16" s="14" t="s">
        <v>73</v>
      </c>
      <c r="D16" s="14" t="s">
        <v>74</v>
      </c>
      <c r="E16" s="14" t="s">
        <v>64</v>
      </c>
      <c r="F16" s="14" t="s">
        <v>64</v>
      </c>
      <c r="G16" s="14" t="s">
        <v>64</v>
      </c>
      <c r="H16" s="330" t="s">
        <v>75</v>
      </c>
    </row>
    <row r="17" spans="1:8" s="9" customFormat="1" ht="10.5">
      <c r="A17" s="329"/>
      <c r="B17" s="16" t="s">
        <v>76</v>
      </c>
      <c r="C17" s="14" t="s">
        <v>77</v>
      </c>
      <c r="D17" s="14" t="s">
        <v>78</v>
      </c>
      <c r="E17" s="14" t="s">
        <v>257</v>
      </c>
      <c r="F17" s="14" t="s">
        <v>258</v>
      </c>
      <c r="G17" s="14" t="s">
        <v>259</v>
      </c>
      <c r="H17" s="330" t="s">
        <v>80</v>
      </c>
    </row>
    <row r="18" spans="1:8" s="9" customFormat="1" ht="10.5">
      <c r="A18" s="329"/>
      <c r="B18" s="16" t="s">
        <v>81</v>
      </c>
      <c r="C18" s="14" t="s">
        <v>82</v>
      </c>
      <c r="D18" s="14" t="s">
        <v>83</v>
      </c>
      <c r="E18" s="14" t="s">
        <v>260</v>
      </c>
      <c r="F18" s="14" t="s">
        <v>261</v>
      </c>
      <c r="G18" s="14" t="s">
        <v>262</v>
      </c>
      <c r="H18" s="330" t="s">
        <v>263</v>
      </c>
    </row>
    <row r="19" spans="1:8" s="9" customFormat="1" ht="10.5">
      <c r="A19" s="329"/>
      <c r="B19" s="16"/>
      <c r="C19" s="14" t="s">
        <v>85</v>
      </c>
      <c r="D19" s="14" t="s">
        <v>86</v>
      </c>
      <c r="F19" s="14" t="s">
        <v>84</v>
      </c>
      <c r="G19" s="14" t="s">
        <v>264</v>
      </c>
      <c r="H19" s="330"/>
    </row>
    <row r="20" spans="1:8" s="9" customFormat="1" ht="12.75" customHeight="1" thickBot="1">
      <c r="A20" s="331"/>
      <c r="B20" s="33"/>
      <c r="C20" s="33"/>
      <c r="D20" s="33" t="s">
        <v>87</v>
      </c>
      <c r="E20" s="33"/>
      <c r="F20" s="33"/>
      <c r="G20" s="33"/>
      <c r="H20" s="30"/>
    </row>
    <row r="21" ht="11.25" thickTop="1">
      <c r="D21" s="6"/>
    </row>
    <row r="22" spans="1:8" ht="10.5">
      <c r="A22" s="142">
        <v>34790</v>
      </c>
      <c r="B22" s="143">
        <v>582.86</v>
      </c>
      <c r="C22" s="334" t="s">
        <v>276</v>
      </c>
      <c r="D22" s="143">
        <f>IF(B22=0,C22,IF(C22=0,0,IF(B22&gt;=C22,C22,B22)))</f>
        <v>582.86</v>
      </c>
      <c r="E22" s="143">
        <v>174.86</v>
      </c>
      <c r="F22" s="143">
        <v>291.43</v>
      </c>
      <c r="G22" s="143">
        <f>B22</f>
        <v>582.86</v>
      </c>
      <c r="H22" s="143">
        <f>IF(D22&lt;=E22,D22*8%,IF(D22&lt;=F22,D22*9%,IF(D22&lt;=G22,D22*10%)))</f>
        <v>58.29</v>
      </c>
    </row>
    <row r="23" spans="1:8" ht="10.5">
      <c r="A23" s="142">
        <v>34820</v>
      </c>
      <c r="B23" s="143">
        <v>832.66</v>
      </c>
      <c r="C23" s="334">
        <f>'06'!D23</f>
        <v>19.33</v>
      </c>
      <c r="D23" s="143">
        <f>IF(B23=0,C23,IF(C23=0,0,IF(B23&gt;=C23,C23,B23)))</f>
        <v>19.33</v>
      </c>
      <c r="E23" s="143">
        <v>249.8</v>
      </c>
      <c r="F23" s="143">
        <v>416.33</v>
      </c>
      <c r="G23" s="143">
        <f>B23</f>
        <v>832.66</v>
      </c>
      <c r="H23" s="143">
        <f>IF(D23&lt;=E23,D23*8%,IF(D23&lt;=F23,D23*9%,IF(D23&lt;=G23,D23*10%)))</f>
        <v>1.55</v>
      </c>
    </row>
    <row r="24" spans="1:8" ht="10.5">
      <c r="A24" s="142">
        <v>34851</v>
      </c>
      <c r="B24" s="143">
        <v>832.66</v>
      </c>
      <c r="C24" s="334">
        <f>'06'!D24</f>
        <v>20</v>
      </c>
      <c r="D24" s="143">
        <f>IF(B24=0,C24,IF(C24=0,0,IF(B24&gt;=C24,C24,B24)))</f>
        <v>20</v>
      </c>
      <c r="E24" s="143">
        <v>249.8</v>
      </c>
      <c r="F24" s="143">
        <v>416.33</v>
      </c>
      <c r="G24" s="143">
        <f>B24</f>
        <v>832.66</v>
      </c>
      <c r="H24" s="143">
        <f>IF(D24&lt;=E24,D24*8%,IF(D24&lt;=F24,D24*9%,IF(D24&lt;=G24,D24*10%)))</f>
        <v>1.6</v>
      </c>
    </row>
    <row r="25" spans="1:8" ht="10.5">
      <c r="A25" s="142">
        <v>34881</v>
      </c>
      <c r="B25" s="143">
        <v>832.66</v>
      </c>
      <c r="C25" s="334">
        <f>'06'!D25</f>
        <v>20</v>
      </c>
      <c r="D25" s="143">
        <f>IF(B25=0,C25,IF(C25=0,0,IF(B25&gt;=C25,C25,B25)))</f>
        <v>20</v>
      </c>
      <c r="E25" s="143">
        <v>249.8</v>
      </c>
      <c r="F25" s="143">
        <v>416.33</v>
      </c>
      <c r="G25" s="143">
        <f>B25</f>
        <v>832.66</v>
      </c>
      <c r="H25" s="143">
        <f>IF(D25&lt;=E25,D25*8%,IF(D25&lt;=F25,D25*9%,IF(D25&lt;=G25,D25*10%)))</f>
        <v>1.6</v>
      </c>
    </row>
    <row r="27" spans="3:8" ht="10.5">
      <c r="C27" s="353">
        <f>SUM(C22:C26)</f>
        <v>59.33</v>
      </c>
      <c r="H27" s="353">
        <f>SUM(H22:H26)</f>
        <v>63.04</v>
      </c>
    </row>
    <row r="29" ht="12.75" customHeight="1"/>
    <row r="30" spans="4:7" ht="10.5">
      <c r="D30" s="232"/>
      <c r="E30" s="232"/>
      <c r="F30" s="232"/>
      <c r="G30" s="232" t="s">
        <v>373</v>
      </c>
    </row>
    <row r="31" spans="4:7" ht="12.75">
      <c r="D31" s="421"/>
      <c r="E31" s="232"/>
      <c r="F31" s="421" t="s">
        <v>374</v>
      </c>
      <c r="G31" s="232"/>
    </row>
  </sheetData>
  <sheetProtection/>
  <hyperlinks>
    <hyperlink ref="F31" r:id="rId1" display="www.sentenca.com.br"/>
  </hyperlinks>
  <printOptions/>
  <pageMargins left="2.1653543307086616" right="0.9055118110236221" top="1.1811023622047245" bottom="0.5905511811023623" header="0.31496062992125984" footer="0.31496062992125984"/>
  <pageSetup horizontalDpi="600" verticalDpi="600" orientation="landscape" paperSize="9" r:id="rId2"/>
  <headerFooter>
    <oddHeader>&amp;R&amp;"Tahoma,Normal"&amp;8
Anexo: 07
Folha : 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8.28125" style="1" customWidth="1"/>
    <col min="2" max="2" width="11.28125" style="1" customWidth="1"/>
    <col min="3" max="3" width="12.57421875" style="1" customWidth="1"/>
    <col min="4" max="4" width="15.421875" style="1" customWidth="1"/>
    <col min="5" max="5" width="11.7109375" style="1" customWidth="1"/>
    <col min="6" max="6" width="12.7109375" style="1" customWidth="1"/>
    <col min="7" max="7" width="12.57421875" style="1" customWidth="1"/>
    <col min="8" max="8" width="12.28125" style="1" customWidth="1"/>
    <col min="9" max="16384" width="9.140625" style="1" customWidth="1"/>
  </cols>
  <sheetData>
    <row r="1" spans="1:4" s="420" customFormat="1" ht="14.25" customHeight="1">
      <c r="A1" s="419" t="s">
        <v>397</v>
      </c>
      <c r="B1" s="419"/>
      <c r="C1" s="419"/>
      <c r="D1" s="419"/>
    </row>
    <row r="2" spans="1:4" s="136" customFormat="1" ht="10.5" customHeight="1">
      <c r="A2" s="232"/>
      <c r="B2" s="233"/>
      <c r="C2" s="232"/>
      <c r="D2" s="232"/>
    </row>
    <row r="3" spans="1:4" s="136" customFormat="1" ht="10.5" customHeight="1">
      <c r="A3" s="232"/>
      <c r="B3" s="233"/>
      <c r="C3" s="232"/>
      <c r="D3" s="232"/>
    </row>
    <row r="4" ht="10.5">
      <c r="A4" s="1" t="s">
        <v>65</v>
      </c>
    </row>
    <row r="5" ht="10.5">
      <c r="A5" s="2" t="s">
        <v>271</v>
      </c>
    </row>
    <row r="6" ht="10.5">
      <c r="A6" s="2"/>
    </row>
    <row r="7" spans="1:5" ht="10.5" customHeight="1">
      <c r="A7" s="1" t="s">
        <v>367</v>
      </c>
      <c r="B7" s="181"/>
      <c r="C7" s="181"/>
      <c r="D7" s="181"/>
      <c r="E7" s="339"/>
    </row>
    <row r="8" spans="1:5" ht="10.5" customHeight="1">
      <c r="A8" s="1" t="s">
        <v>368</v>
      </c>
      <c r="B8" s="181"/>
      <c r="C8" s="181"/>
      <c r="D8" s="181"/>
      <c r="E8" s="339"/>
    </row>
    <row r="9" spans="1:5" s="2" customFormat="1" ht="10.5" customHeight="1">
      <c r="A9" s="2" t="s">
        <v>375</v>
      </c>
      <c r="B9" s="422"/>
      <c r="C9" s="422"/>
      <c r="D9" s="422"/>
      <c r="E9" s="423"/>
    </row>
    <row r="10" spans="1:5" ht="10.5" customHeight="1">
      <c r="A10" s="1" t="s">
        <v>364</v>
      </c>
      <c r="B10" s="181"/>
      <c r="C10" s="181"/>
      <c r="D10" s="181"/>
      <c r="E10" s="181"/>
    </row>
    <row r="11" ht="15" customHeight="1" thickBot="1"/>
    <row r="12" spans="1:8" ht="12" thickBot="1" thickTop="1">
      <c r="A12" s="12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</row>
    <row r="13" spans="1:2" ht="12" thickBot="1" thickTop="1">
      <c r="A13" s="3"/>
      <c r="B13" s="3"/>
    </row>
    <row r="14" spans="1:8" s="9" customFormat="1" ht="11.25" thickTop="1">
      <c r="A14" s="326" t="s">
        <v>9</v>
      </c>
      <c r="B14" s="327" t="s">
        <v>63</v>
      </c>
      <c r="C14" s="34" t="s">
        <v>66</v>
      </c>
      <c r="D14" s="34" t="s">
        <v>63</v>
      </c>
      <c r="E14" s="34" t="s">
        <v>67</v>
      </c>
      <c r="F14" s="34" t="s">
        <v>67</v>
      </c>
      <c r="G14" s="34" t="s">
        <v>67</v>
      </c>
      <c r="H14" s="328" t="s">
        <v>68</v>
      </c>
    </row>
    <row r="15" spans="1:8" s="9" customFormat="1" ht="10.5">
      <c r="A15" s="329"/>
      <c r="B15" s="16" t="s">
        <v>64</v>
      </c>
      <c r="C15" s="14" t="s">
        <v>69</v>
      </c>
      <c r="D15" s="14" t="s">
        <v>70</v>
      </c>
      <c r="E15" s="14" t="s">
        <v>256</v>
      </c>
      <c r="F15" s="14" t="s">
        <v>256</v>
      </c>
      <c r="G15" s="14" t="s">
        <v>256</v>
      </c>
      <c r="H15" s="330" t="s">
        <v>71</v>
      </c>
    </row>
    <row r="16" spans="1:8" s="9" customFormat="1" ht="10.5">
      <c r="A16" s="329"/>
      <c r="B16" s="16" t="s">
        <v>72</v>
      </c>
      <c r="C16" s="14" t="s">
        <v>73</v>
      </c>
      <c r="D16" s="14" t="s">
        <v>74</v>
      </c>
      <c r="E16" s="14" t="s">
        <v>64</v>
      </c>
      <c r="F16" s="14" t="s">
        <v>64</v>
      </c>
      <c r="G16" s="14" t="s">
        <v>64</v>
      </c>
      <c r="H16" s="330" t="s">
        <v>75</v>
      </c>
    </row>
    <row r="17" spans="1:8" s="9" customFormat="1" ht="10.5">
      <c r="A17" s="329"/>
      <c r="B17" s="16" t="s">
        <v>76</v>
      </c>
      <c r="C17" s="14" t="s">
        <v>77</v>
      </c>
      <c r="D17" s="14" t="s">
        <v>78</v>
      </c>
      <c r="E17" s="14" t="s">
        <v>257</v>
      </c>
      <c r="F17" s="14" t="s">
        <v>261</v>
      </c>
      <c r="G17" s="14" t="s">
        <v>79</v>
      </c>
      <c r="H17" s="330" t="s">
        <v>80</v>
      </c>
    </row>
    <row r="18" spans="1:8" s="9" customFormat="1" ht="10.5">
      <c r="A18" s="329"/>
      <c r="B18" s="16" t="s">
        <v>81</v>
      </c>
      <c r="C18" s="14" t="s">
        <v>82</v>
      </c>
      <c r="D18" s="14" t="s">
        <v>83</v>
      </c>
      <c r="E18" s="14" t="s">
        <v>260</v>
      </c>
      <c r="F18" s="14" t="s">
        <v>84</v>
      </c>
      <c r="G18" s="14" t="s">
        <v>84</v>
      </c>
      <c r="H18" s="330" t="s">
        <v>263</v>
      </c>
    </row>
    <row r="19" spans="1:8" s="9" customFormat="1" ht="10.5">
      <c r="A19" s="329"/>
      <c r="B19" s="16"/>
      <c r="C19" s="14" t="s">
        <v>85</v>
      </c>
      <c r="D19" s="14" t="s">
        <v>86</v>
      </c>
      <c r="F19" s="14"/>
      <c r="G19" s="14"/>
      <c r="H19" s="330"/>
    </row>
    <row r="20" spans="1:8" s="9" customFormat="1" ht="12.75" customHeight="1" thickBot="1">
      <c r="A20" s="331"/>
      <c r="B20" s="33"/>
      <c r="C20" s="33"/>
      <c r="D20" s="33" t="s">
        <v>87</v>
      </c>
      <c r="E20" s="33"/>
      <c r="F20" s="33"/>
      <c r="G20" s="33"/>
      <c r="H20" s="30"/>
    </row>
    <row r="21" ht="11.25" thickTop="1"/>
    <row r="22" spans="1:8" ht="10.5">
      <c r="A22" s="142">
        <v>34912</v>
      </c>
      <c r="B22" s="143">
        <v>832.66</v>
      </c>
      <c r="C22" s="143">
        <f>'06'!D26</f>
        <v>20</v>
      </c>
      <c r="D22" s="143">
        <f aca="true" t="shared" si="0" ref="D22:D38">IF(B22=0,C22,IF(C22=0,0,IF(B22&gt;=C22,C22,B22)))</f>
        <v>20</v>
      </c>
      <c r="E22" s="143">
        <v>249.8</v>
      </c>
      <c r="F22" s="143">
        <v>416.33</v>
      </c>
      <c r="G22" s="143">
        <f aca="true" t="shared" si="1" ref="G22:G38">B22</f>
        <v>832.66</v>
      </c>
      <c r="H22" s="143">
        <f>IF(D22&lt;=E22,D22*8%,IF(D22&lt;=F22,D22*9%,IF(D22&lt;=G22,D22*11%)))</f>
        <v>1.6</v>
      </c>
    </row>
    <row r="23" spans="1:8" ht="10.5">
      <c r="A23" s="142">
        <v>34943</v>
      </c>
      <c r="B23" s="143">
        <v>832.66</v>
      </c>
      <c r="C23" s="143">
        <f>'06'!D27</f>
        <v>20</v>
      </c>
      <c r="D23" s="143">
        <f t="shared" si="0"/>
        <v>20</v>
      </c>
      <c r="E23" s="143">
        <v>249.8</v>
      </c>
      <c r="F23" s="143">
        <v>416.33</v>
      </c>
      <c r="G23" s="143">
        <f t="shared" si="1"/>
        <v>832.66</v>
      </c>
      <c r="H23" s="143">
        <f aca="true" t="shared" si="2" ref="H23:H38">IF(D23&lt;=E23,D23*8%,IF(D23&lt;=F23,D23*9%,IF(D23&lt;=G23,D23*11%)))</f>
        <v>1.6</v>
      </c>
    </row>
    <row r="24" spans="1:8" ht="10.5">
      <c r="A24" s="142">
        <v>34973</v>
      </c>
      <c r="B24" s="143">
        <v>832.66</v>
      </c>
      <c r="C24" s="143">
        <f>'06'!D28</f>
        <v>20</v>
      </c>
      <c r="D24" s="143">
        <f t="shared" si="0"/>
        <v>20</v>
      </c>
      <c r="E24" s="143">
        <v>249.8</v>
      </c>
      <c r="F24" s="143">
        <v>416.33</v>
      </c>
      <c r="G24" s="143">
        <f t="shared" si="1"/>
        <v>832.66</v>
      </c>
      <c r="H24" s="143">
        <f t="shared" si="2"/>
        <v>1.6</v>
      </c>
    </row>
    <row r="25" spans="1:8" ht="10.5">
      <c r="A25" s="142">
        <v>35004</v>
      </c>
      <c r="B25" s="143">
        <v>832.66</v>
      </c>
      <c r="C25" s="143">
        <f>'06'!D29</f>
        <v>20</v>
      </c>
      <c r="D25" s="143">
        <f t="shared" si="0"/>
        <v>20</v>
      </c>
      <c r="E25" s="143">
        <v>249.8</v>
      </c>
      <c r="F25" s="143">
        <v>416.33</v>
      </c>
      <c r="G25" s="143">
        <f t="shared" si="1"/>
        <v>832.66</v>
      </c>
      <c r="H25" s="143">
        <f t="shared" si="2"/>
        <v>1.6</v>
      </c>
    </row>
    <row r="26" spans="1:8" ht="10.5">
      <c r="A26" s="142">
        <v>35034</v>
      </c>
      <c r="B26" s="143">
        <v>832.66</v>
      </c>
      <c r="C26" s="143">
        <f>'06'!D30</f>
        <v>23.85</v>
      </c>
      <c r="D26" s="143">
        <f t="shared" si="0"/>
        <v>23.85</v>
      </c>
      <c r="E26" s="143">
        <v>249.8</v>
      </c>
      <c r="F26" s="143">
        <v>416.33</v>
      </c>
      <c r="G26" s="143">
        <f t="shared" si="1"/>
        <v>832.66</v>
      </c>
      <c r="H26" s="143">
        <f t="shared" si="2"/>
        <v>1.91</v>
      </c>
    </row>
    <row r="27" spans="1:8" ht="10.5">
      <c r="A27" s="142">
        <v>35065</v>
      </c>
      <c r="B27" s="143">
        <v>832.66</v>
      </c>
      <c r="C27" s="143">
        <f>'06'!D31</f>
        <v>16.67</v>
      </c>
      <c r="D27" s="143">
        <f t="shared" si="0"/>
        <v>16.67</v>
      </c>
      <c r="E27" s="143">
        <v>249.8</v>
      </c>
      <c r="F27" s="143">
        <v>416.33</v>
      </c>
      <c r="G27" s="143">
        <f t="shared" si="1"/>
        <v>832.66</v>
      </c>
      <c r="H27" s="143">
        <f t="shared" si="2"/>
        <v>1.33</v>
      </c>
    </row>
    <row r="28" spans="1:8" ht="10.5">
      <c r="A28" s="142">
        <v>35096</v>
      </c>
      <c r="B28" s="143">
        <v>832.66</v>
      </c>
      <c r="C28" s="143" t="s">
        <v>276</v>
      </c>
      <c r="D28" s="143">
        <v>0</v>
      </c>
      <c r="E28" s="143">
        <v>249.8</v>
      </c>
      <c r="F28" s="143">
        <v>416.33</v>
      </c>
      <c r="G28" s="143">
        <f t="shared" si="1"/>
        <v>832.66</v>
      </c>
      <c r="H28" s="143">
        <f t="shared" si="2"/>
        <v>0</v>
      </c>
    </row>
    <row r="29" spans="1:8" ht="10.5">
      <c r="A29" s="142">
        <v>35125</v>
      </c>
      <c r="B29" s="143">
        <v>832.66</v>
      </c>
      <c r="C29" s="143" t="s">
        <v>276</v>
      </c>
      <c r="D29" s="143">
        <v>0</v>
      </c>
      <c r="E29" s="143">
        <v>249.8</v>
      </c>
      <c r="F29" s="143">
        <v>416.33</v>
      </c>
      <c r="G29" s="143">
        <f t="shared" si="1"/>
        <v>832.66</v>
      </c>
      <c r="H29" s="143">
        <f t="shared" si="2"/>
        <v>0</v>
      </c>
    </row>
    <row r="30" spans="1:8" ht="10.5">
      <c r="A30" s="142">
        <v>35156</v>
      </c>
      <c r="B30" s="143">
        <v>832.66</v>
      </c>
      <c r="C30" s="143" t="s">
        <v>276</v>
      </c>
      <c r="D30" s="143">
        <v>0</v>
      </c>
      <c r="E30" s="143">
        <v>249.8</v>
      </c>
      <c r="F30" s="143">
        <v>416.33</v>
      </c>
      <c r="G30" s="143">
        <f t="shared" si="1"/>
        <v>832.66</v>
      </c>
      <c r="H30" s="143">
        <f t="shared" si="2"/>
        <v>0</v>
      </c>
    </row>
    <row r="31" spans="1:8" ht="10.5">
      <c r="A31" s="142">
        <v>35186</v>
      </c>
      <c r="B31" s="143">
        <v>957.56</v>
      </c>
      <c r="C31" s="143" t="s">
        <v>276</v>
      </c>
      <c r="D31" s="143">
        <v>0</v>
      </c>
      <c r="E31" s="143">
        <v>287.27</v>
      </c>
      <c r="F31" s="143">
        <v>478.78</v>
      </c>
      <c r="G31" s="143">
        <f t="shared" si="1"/>
        <v>957.56</v>
      </c>
      <c r="H31" s="143">
        <f t="shared" si="2"/>
        <v>0</v>
      </c>
    </row>
    <row r="32" spans="1:8" ht="10.5">
      <c r="A32" s="142">
        <v>35217</v>
      </c>
      <c r="B32" s="143">
        <v>957.56</v>
      </c>
      <c r="C32" s="143" t="s">
        <v>276</v>
      </c>
      <c r="D32" s="143">
        <v>0</v>
      </c>
      <c r="E32" s="143">
        <v>287.27</v>
      </c>
      <c r="F32" s="143">
        <v>478.78</v>
      </c>
      <c r="G32" s="143">
        <f t="shared" si="1"/>
        <v>957.56</v>
      </c>
      <c r="H32" s="143">
        <f t="shared" si="2"/>
        <v>0</v>
      </c>
    </row>
    <row r="33" spans="1:8" ht="10.5">
      <c r="A33" s="142">
        <v>35247</v>
      </c>
      <c r="B33" s="143">
        <v>957.56</v>
      </c>
      <c r="C33" s="143" t="s">
        <v>276</v>
      </c>
      <c r="D33" s="143">
        <v>0</v>
      </c>
      <c r="E33" s="143">
        <v>287.27</v>
      </c>
      <c r="F33" s="143">
        <v>478.78</v>
      </c>
      <c r="G33" s="143">
        <f t="shared" si="1"/>
        <v>957.56</v>
      </c>
      <c r="H33" s="143">
        <f t="shared" si="2"/>
        <v>0</v>
      </c>
    </row>
    <row r="34" spans="1:8" ht="10.5">
      <c r="A34" s="142">
        <v>35278</v>
      </c>
      <c r="B34" s="143">
        <v>957.56</v>
      </c>
      <c r="C34" s="143" t="s">
        <v>276</v>
      </c>
      <c r="D34" s="143">
        <v>0</v>
      </c>
      <c r="E34" s="143">
        <v>287.27</v>
      </c>
      <c r="F34" s="143">
        <v>478.78</v>
      </c>
      <c r="G34" s="143">
        <f t="shared" si="1"/>
        <v>957.56</v>
      </c>
      <c r="H34" s="143">
        <f t="shared" si="2"/>
        <v>0</v>
      </c>
    </row>
    <row r="35" spans="1:8" ht="10.5">
      <c r="A35" s="142">
        <v>35309</v>
      </c>
      <c r="B35" s="143">
        <v>957.56</v>
      </c>
      <c r="C35" s="143">
        <f>'06'!D39</f>
        <v>8.88</v>
      </c>
      <c r="D35" s="143">
        <f t="shared" si="0"/>
        <v>8.88</v>
      </c>
      <c r="E35" s="143">
        <v>287.27</v>
      </c>
      <c r="F35" s="143">
        <v>478.78</v>
      </c>
      <c r="G35" s="143">
        <f t="shared" si="1"/>
        <v>957.56</v>
      </c>
      <c r="H35" s="143">
        <f t="shared" si="2"/>
        <v>0.71</v>
      </c>
    </row>
    <row r="36" spans="1:8" ht="10.5">
      <c r="A36" s="142">
        <v>35339</v>
      </c>
      <c r="B36" s="143">
        <v>957.56</v>
      </c>
      <c r="C36" s="143">
        <f>'06'!D40</f>
        <v>22.4</v>
      </c>
      <c r="D36" s="143">
        <f t="shared" si="0"/>
        <v>22.4</v>
      </c>
      <c r="E36" s="143">
        <v>287.27</v>
      </c>
      <c r="F36" s="143">
        <v>478.78</v>
      </c>
      <c r="G36" s="143">
        <f t="shared" si="1"/>
        <v>957.56</v>
      </c>
      <c r="H36" s="143">
        <f t="shared" si="2"/>
        <v>1.79</v>
      </c>
    </row>
    <row r="37" spans="1:8" ht="10.5">
      <c r="A37" s="142">
        <v>35370</v>
      </c>
      <c r="B37" s="143">
        <v>957.56</v>
      </c>
      <c r="C37" s="143">
        <f>'06'!D41</f>
        <v>22.4</v>
      </c>
      <c r="D37" s="143">
        <f t="shared" si="0"/>
        <v>22.4</v>
      </c>
      <c r="E37" s="143">
        <v>287.27</v>
      </c>
      <c r="F37" s="143">
        <v>478.78</v>
      </c>
      <c r="G37" s="143">
        <f t="shared" si="1"/>
        <v>957.56</v>
      </c>
      <c r="H37" s="143">
        <f t="shared" si="2"/>
        <v>1.79</v>
      </c>
    </row>
    <row r="38" spans="1:8" ht="10.5">
      <c r="A38" s="142">
        <v>35400</v>
      </c>
      <c r="B38" s="143">
        <v>957.56</v>
      </c>
      <c r="C38" s="143">
        <f>'06'!D42</f>
        <v>44.8</v>
      </c>
      <c r="D38" s="143">
        <f t="shared" si="0"/>
        <v>44.8</v>
      </c>
      <c r="E38" s="143">
        <v>287.27</v>
      </c>
      <c r="F38" s="143">
        <v>478.78</v>
      </c>
      <c r="G38" s="143">
        <f t="shared" si="1"/>
        <v>957.56</v>
      </c>
      <c r="H38" s="143">
        <f t="shared" si="2"/>
        <v>3.58</v>
      </c>
    </row>
    <row r="40" spans="3:8" ht="10.5">
      <c r="C40" s="353">
        <f>SUM(C22:C39)</f>
        <v>219</v>
      </c>
      <c r="H40" s="353">
        <f>SUM(H22:H39)</f>
        <v>17.51</v>
      </c>
    </row>
    <row r="43" spans="4:7" ht="10.5">
      <c r="D43" s="232"/>
      <c r="E43" s="232"/>
      <c r="F43" s="232"/>
      <c r="G43" s="232" t="s">
        <v>373</v>
      </c>
    </row>
    <row r="44" spans="4:7" ht="12.75">
      <c r="D44" s="421"/>
      <c r="E44" s="232"/>
      <c r="F44" s="421" t="s">
        <v>374</v>
      </c>
      <c r="G44" s="232"/>
    </row>
  </sheetData>
  <sheetProtection/>
  <hyperlinks>
    <hyperlink ref="F44" r:id="rId1" display="www.sentenca.com.br"/>
  </hyperlinks>
  <printOptions/>
  <pageMargins left="2.0866141732283467" right="0.5118110236220472" top="0.7874015748031497" bottom="0.7874015748031497" header="0.31496062992125984" footer="0.31496062992125984"/>
  <pageSetup horizontalDpi="600" verticalDpi="600" orientation="landscape" paperSize="9" r:id="rId2"/>
  <headerFooter>
    <oddHeader>&amp;R&amp;"Tahoma,Normal"&amp;8
Anexo: 08
Folha 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ARRUDA</dc:creator>
  <cp:keywords/>
  <dc:description/>
  <cp:lastModifiedBy>User</cp:lastModifiedBy>
  <cp:lastPrinted>2015-04-10T14:54:20Z</cp:lastPrinted>
  <dcterms:created xsi:type="dcterms:W3CDTF">1998-10-10T16:06:08Z</dcterms:created>
  <dcterms:modified xsi:type="dcterms:W3CDTF">2015-04-10T20:14:07Z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